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l.umsl.edu\steamboat\t\thaxtonm\My Documents\Fact Book Documents\Excel\Fact Book\"/>
    </mc:Choice>
  </mc:AlternateContent>
  <bookViews>
    <workbookView showHorizontalScroll="0" showVerticalScroll="0" showSheetTabs="0" xWindow="0" yWindow="0" windowWidth="28800" windowHeight="12300"/>
  </bookViews>
  <sheets>
    <sheet name="$" sheetId="5" r:id="rId1"/>
  </sheets>
  <definedNames>
    <definedName name="_xlnm.Print_Area" localSheetId="0">'$'!$A$1:$Y$82</definedName>
  </definedNames>
  <calcPr calcId="162913"/>
</workbook>
</file>

<file path=xl/calcChain.xml><?xml version="1.0" encoding="utf-8"?>
<calcChain xmlns="http://schemas.openxmlformats.org/spreadsheetml/2006/main">
  <c r="X31" i="5" l="1"/>
  <c r="X30" i="5"/>
  <c r="X28" i="5"/>
  <c r="X14" i="5"/>
  <c r="X13" i="5"/>
  <c r="X12" i="5"/>
  <c r="V36" i="5"/>
  <c r="V32" i="5"/>
  <c r="V28" i="5"/>
  <c r="W32" i="5"/>
  <c r="W31" i="5"/>
  <c r="W30" i="5"/>
  <c r="W29" i="5"/>
  <c r="W28" i="5"/>
  <c r="W22" i="5"/>
  <c r="W14" i="5"/>
  <c r="W15" i="5" s="1"/>
  <c r="W23" i="5" s="1"/>
  <c r="W33" i="5" s="1"/>
  <c r="W36" i="5" s="1"/>
  <c r="W13" i="5"/>
  <c r="W12" i="5"/>
  <c r="V30" i="5" l="1"/>
  <c r="V31" i="5"/>
  <c r="V29" i="5"/>
  <c r="V22" i="5"/>
  <c r="V15" i="5"/>
  <c r="V23" i="5" s="1"/>
  <c r="V14" i="5"/>
  <c r="V13" i="5"/>
  <c r="V12" i="5"/>
  <c r="U31" i="5" l="1"/>
  <c r="U30" i="5"/>
  <c r="U29" i="5"/>
  <c r="U28" i="5"/>
  <c r="U22" i="5"/>
  <c r="U14" i="5"/>
  <c r="U13" i="5"/>
  <c r="U12" i="5"/>
  <c r="U15" i="5" s="1"/>
  <c r="U23" i="5" l="1"/>
  <c r="U32" i="5"/>
  <c r="X32" i="5"/>
  <c r="T31" i="5"/>
  <c r="T30" i="5"/>
  <c r="T29" i="5"/>
  <c r="T28" i="5"/>
  <c r="T22" i="5"/>
  <c r="T14" i="5"/>
  <c r="T13" i="5"/>
  <c r="T12" i="5"/>
  <c r="U33" i="5" l="1"/>
  <c r="U36" i="5" s="1"/>
  <c r="T15" i="5"/>
  <c r="T23" i="5" s="1"/>
  <c r="T32" i="5"/>
  <c r="T33" i="5" l="1"/>
  <c r="T36" i="5" s="1"/>
  <c r="S31" i="5"/>
  <c r="S30" i="5"/>
  <c r="S28" i="5"/>
  <c r="S22" i="5"/>
  <c r="S14" i="5"/>
  <c r="S13" i="5"/>
  <c r="S12" i="5"/>
  <c r="S15" i="5" l="1"/>
  <c r="S23" i="5" s="1"/>
  <c r="S32" i="5"/>
  <c r="S33" i="5" l="1"/>
  <c r="S36" i="5" s="1"/>
  <c r="R31" i="5"/>
  <c r="R30" i="5"/>
  <c r="R28" i="5"/>
  <c r="R22" i="5"/>
  <c r="R14" i="5"/>
  <c r="R13" i="5"/>
  <c r="R12" i="5"/>
  <c r="R15" i="5" l="1"/>
  <c r="R23" i="5" s="1"/>
  <c r="R32" i="5"/>
  <c r="Q14" i="5"/>
  <c r="X22" i="5"/>
  <c r="X15" i="5"/>
  <c r="R33" i="5" l="1"/>
  <c r="R36" i="5" s="1"/>
  <c r="X23" i="5"/>
  <c r="X33" i="5" s="1"/>
  <c r="Q31" i="5"/>
  <c r="Q30" i="5"/>
  <c r="Q28" i="5"/>
  <c r="Q13" i="5"/>
  <c r="Q12" i="5"/>
  <c r="P31" i="5"/>
  <c r="P30" i="5"/>
  <c r="P28" i="5"/>
  <c r="P22" i="5"/>
  <c r="P14" i="5"/>
  <c r="P13" i="5"/>
  <c r="P12" i="5"/>
  <c r="P15" i="5" l="1"/>
  <c r="P23" i="5" s="1"/>
  <c r="P32" i="5"/>
  <c r="O31" i="5"/>
  <c r="O30" i="5"/>
  <c r="O29" i="5"/>
  <c r="O28" i="5"/>
  <c r="O22" i="5"/>
  <c r="O14" i="5"/>
  <c r="O13" i="5"/>
  <c r="O12" i="5"/>
  <c r="P33" i="5" l="1"/>
  <c r="P36" i="5" s="1"/>
  <c r="O32" i="5"/>
  <c r="O15" i="5"/>
  <c r="O23" i="5" s="1"/>
  <c r="O33" i="5" l="1"/>
  <c r="O36" i="5" s="1"/>
  <c r="N31" i="5"/>
  <c r="N30" i="5"/>
  <c r="N28" i="5" l="1"/>
  <c r="N29" i="5"/>
  <c r="N22" i="5"/>
  <c r="N14" i="5"/>
  <c r="N13" i="5"/>
  <c r="N12" i="5"/>
  <c r="N15" i="5" l="1"/>
  <c r="N23" i="5" s="1"/>
  <c r="N32" i="5"/>
  <c r="G30" i="5"/>
  <c r="H30" i="5"/>
  <c r="G27" i="5"/>
  <c r="G28" i="5"/>
  <c r="G14" i="5"/>
  <c r="G13" i="5"/>
  <c r="G12" i="5"/>
  <c r="H27" i="5"/>
  <c r="H31" i="5"/>
  <c r="H28" i="5"/>
  <c r="H12" i="5"/>
  <c r="H14" i="5"/>
  <c r="H13" i="5"/>
  <c r="I31" i="5"/>
  <c r="I30" i="5"/>
  <c r="I28" i="5"/>
  <c r="I14" i="5"/>
  <c r="I13" i="5"/>
  <c r="I12" i="5"/>
  <c r="J31" i="5"/>
  <c r="J30" i="5"/>
  <c r="J28" i="5"/>
  <c r="J14" i="5"/>
  <c r="J13" i="5"/>
  <c r="J12" i="5"/>
  <c r="K31" i="5"/>
  <c r="K30" i="5"/>
  <c r="K28" i="5"/>
  <c r="K14" i="5"/>
  <c r="K13" i="5"/>
  <c r="K12" i="5"/>
  <c r="L31" i="5"/>
  <c r="L30" i="5"/>
  <c r="L28" i="5"/>
  <c r="L14" i="5"/>
  <c r="L13" i="5"/>
  <c r="L12" i="5"/>
  <c r="M31" i="5"/>
  <c r="M30" i="5"/>
  <c r="M29" i="5"/>
  <c r="M28" i="5"/>
  <c r="M14" i="5"/>
  <c r="M13" i="5"/>
  <c r="M12" i="5"/>
  <c r="M22" i="5"/>
  <c r="Q22" i="5"/>
  <c r="L22" i="5"/>
  <c r="K22" i="5"/>
  <c r="J22" i="5"/>
  <c r="I22" i="5"/>
  <c r="H22" i="5"/>
  <c r="G22" i="5"/>
  <c r="L15" i="5" l="1"/>
  <c r="J32" i="5"/>
  <c r="H32" i="5"/>
  <c r="J15" i="5"/>
  <c r="J23" i="5" s="1"/>
  <c r="H15" i="5"/>
  <c r="G32" i="5"/>
  <c r="N33" i="5"/>
  <c r="N36" i="5" s="1"/>
  <c r="Q15" i="5"/>
  <c r="Q23" i="5" s="1"/>
  <c r="K15" i="5"/>
  <c r="K23" i="5" s="1"/>
  <c r="K32" i="5"/>
  <c r="I15" i="5"/>
  <c r="I23" i="5" s="1"/>
  <c r="I32" i="5"/>
  <c r="M32" i="5"/>
  <c r="L32" i="5"/>
  <c r="G15" i="5"/>
  <c r="G23" i="5"/>
  <c r="H23" i="5"/>
  <c r="H33" i="5" s="1"/>
  <c r="H36" i="5" s="1"/>
  <c r="L23" i="5"/>
  <c r="M15" i="5"/>
  <c r="Q32" i="5"/>
  <c r="J33" i="5" l="1"/>
  <c r="J36" i="5" s="1"/>
  <c r="K33" i="5"/>
  <c r="K36" i="5" s="1"/>
  <c r="L33" i="5"/>
  <c r="L36" i="5" s="1"/>
  <c r="G33" i="5"/>
  <c r="G36" i="5" s="1"/>
  <c r="I33" i="5"/>
  <c r="I36" i="5" s="1"/>
  <c r="M23" i="5"/>
  <c r="M33" i="5" s="1"/>
  <c r="M36" i="5" s="1"/>
  <c r="Q33" i="5"/>
  <c r="Q36" i="5" s="1"/>
  <c r="X36" i="5"/>
  <c r="V33" i="5"/>
</calcChain>
</file>

<file path=xl/sharedStrings.xml><?xml version="1.0" encoding="utf-8"?>
<sst xmlns="http://schemas.openxmlformats.org/spreadsheetml/2006/main" count="55" uniqueCount="55">
  <si>
    <t>Auxiliary Enterprises</t>
  </si>
  <si>
    <t>State Appropriations</t>
  </si>
  <si>
    <t>Investment and Endowment Income (Loss)</t>
  </si>
  <si>
    <t>Private Gifts (operating and endowment)</t>
  </si>
  <si>
    <t>Capital Appropriations, Gifts and Grants</t>
  </si>
  <si>
    <t>Transfers In (Out)</t>
  </si>
  <si>
    <t>All Other Nonoperating Revenues (Expenses) (net)</t>
  </si>
  <si>
    <t>Operating Revenues:</t>
  </si>
  <si>
    <t>All Other (net)</t>
  </si>
  <si>
    <t>Total Operating Revenues</t>
  </si>
  <si>
    <t>Salaries and Wages</t>
  </si>
  <si>
    <t>Staff Benefits</t>
  </si>
  <si>
    <t>Scholarships and Fellowships</t>
  </si>
  <si>
    <t>Depreciation &amp; Capital Expense</t>
  </si>
  <si>
    <t>Operating Loss</t>
  </si>
  <si>
    <t>Nonoperating Revenues, Expenses and Other Changes:</t>
  </si>
  <si>
    <t>Category</t>
  </si>
  <si>
    <t>Supplies, Services and Other Operating Expenses</t>
  </si>
  <si>
    <t>Less: Operating Expenses:</t>
  </si>
  <si>
    <t>UNIVERSITY OF MISSOURI-ST. LOUIS</t>
  </si>
  <si>
    <t>(in thousands of dollars)</t>
  </si>
  <si>
    <t>FY2002</t>
  </si>
  <si>
    <t>FY2003</t>
  </si>
  <si>
    <t>FY2004</t>
  </si>
  <si>
    <t>FY2005</t>
  </si>
  <si>
    <t>FY2006</t>
  </si>
  <si>
    <t>FY2007</t>
  </si>
  <si>
    <t>FY2008</t>
  </si>
  <si>
    <t>Grants and Contracts (see also Table 8-1)</t>
  </si>
  <si>
    <t>Net Tuition and Fees (see also Table 4-3 )</t>
  </si>
  <si>
    <t>Federal Pell Grants</t>
  </si>
  <si>
    <r>
      <rPr>
        <b/>
        <sz val="10"/>
        <rFont val="Times New Roman"/>
        <family val="1"/>
      </rPr>
      <t>Total Operating Expenses</t>
    </r>
    <r>
      <rPr>
        <sz val="10"/>
        <rFont val="Times New Roman"/>
        <family val="1"/>
      </rPr>
      <t xml:space="preserve"> (see also Table 4-4)</t>
    </r>
  </si>
  <si>
    <t>FY2009</t>
  </si>
  <si>
    <t>FY2010</t>
  </si>
  <si>
    <t>FY2011</t>
  </si>
  <si>
    <t>FY2012</t>
  </si>
  <si>
    <t>FY2013</t>
  </si>
  <si>
    <t>FY2014</t>
  </si>
  <si>
    <t>(2)  Starting in FY2010, Federal Pell Grants were recorded as nonoperating revenues instead of as operating revenues. Prior years, other than FY2009, were not restated.</t>
  </si>
  <si>
    <t>(1)  Certain prior year balances may have been reclassified to conform with a subsequent year's presentation. Thus, total operating expenses in this table may not agree with amounts reported in Table 4-4.</t>
  </si>
  <si>
    <t>(3)  Starting in FY2013, Net Assets was changed to Net Position. This term is now used for all years.</t>
  </si>
  <si>
    <t>Notes</t>
  </si>
  <si>
    <r>
      <t>TABLE 4-2. REVENUES, EXPENSES AND CHANGES IN NET POSITION</t>
    </r>
    <r>
      <rPr>
        <b/>
        <sz val="8"/>
        <rFont val="Times New Roman"/>
        <family val="1"/>
      </rPr>
      <t xml:space="preserve"> (1)(2)(3)</t>
    </r>
  </si>
  <si>
    <t>Net Position, Beginning of Year, as Adjusted</t>
  </si>
  <si>
    <t>Net Position, End of Year (see also Table 4-1)</t>
  </si>
  <si>
    <t>FY2015</t>
  </si>
  <si>
    <t>Total Nonoperating Revenues, Expenses and Other Changes</t>
  </si>
  <si>
    <t>FY2016</t>
  </si>
  <si>
    <t>FY2018</t>
  </si>
  <si>
    <t>Cumulative Effect of Change in Accounting Principles</t>
  </si>
  <si>
    <t>(4) FY2017 has been restated for the cumulative effect of change in accouting principles.</t>
  </si>
  <si>
    <r>
      <t>FY2017</t>
    </r>
    <r>
      <rPr>
        <b/>
        <sz val="6"/>
        <rFont val="Times New Roman"/>
        <family val="1"/>
      </rPr>
      <t>(4)</t>
    </r>
  </si>
  <si>
    <t>Increase (Decrease) in Net Position</t>
  </si>
  <si>
    <t>FY2019</t>
  </si>
  <si>
    <t>Source:  University of Missouri System Financial Report and Supplemental Schedules (most recent FY2019)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</si>
</sst>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3" x14ac:knownFonts="1">
    <font>
      <sz val="10"/>
      <name val="Arial"/>
    </font>
    <font>
      <sz val="10"/>
      <name val="Arial"/>
      <family val="2"/>
    </font>
    <font>
      <sz val="9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u/>
      <sz val="10"/>
      <color theme="10"/>
      <name val="Arial"/>
      <family val="2"/>
    </font>
    <font>
      <u/>
      <sz val="10"/>
      <color theme="10"/>
      <name val="Times New Roman"/>
      <family val="1"/>
    </font>
    <font>
      <sz val="10"/>
      <name val="Arial"/>
      <family val="2"/>
    </font>
    <font>
      <u/>
      <sz val="9"/>
      <name val="Times New Roman"/>
      <family val="1"/>
    </font>
    <font>
      <b/>
      <sz val="8"/>
      <name val="Times New Roman"/>
      <family val="1"/>
    </font>
    <font>
      <b/>
      <sz val="6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</cellStyleXfs>
  <cellXfs count="88">
    <xf numFmtId="0" fontId="0" fillId="0" borderId="0" xfId="0"/>
    <xf numFmtId="0" fontId="2" fillId="0" borderId="6" xfId="0" applyFont="1" applyBorder="1"/>
    <xf numFmtId="0" fontId="2" fillId="0" borderId="2" xfId="0" applyFont="1" applyBorder="1"/>
    <xf numFmtId="0" fontId="2" fillId="0" borderId="7" xfId="0" applyFont="1" applyBorder="1"/>
    <xf numFmtId="0" fontId="2" fillId="0" borderId="0" xfId="0" applyFont="1" applyBorder="1"/>
    <xf numFmtId="0" fontId="3" fillId="0" borderId="6" xfId="0" applyFont="1" applyBorder="1"/>
    <xf numFmtId="0" fontId="2" fillId="0" borderId="6" xfId="0" applyFont="1" applyFill="1" applyBorder="1"/>
    <xf numFmtId="0" fontId="2" fillId="0" borderId="0" xfId="0" applyFont="1" applyFill="1" applyBorder="1"/>
    <xf numFmtId="0" fontId="2" fillId="0" borderId="9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3" fontId="2" fillId="0" borderId="4" xfId="0" applyNumberFormat="1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37" fontId="3" fillId="0" borderId="1" xfId="0" applyNumberFormat="1" applyFont="1" applyBorder="1" applyAlignment="1">
      <alignment horizontal="right"/>
    </xf>
    <xf numFmtId="0" fontId="5" fillId="0" borderId="0" xfId="0" applyFont="1" applyBorder="1"/>
    <xf numFmtId="0" fontId="0" fillId="0" borderId="10" xfId="0" applyBorder="1"/>
    <xf numFmtId="0" fontId="0" fillId="0" borderId="1" xfId="0" applyBorder="1"/>
    <xf numFmtId="0" fontId="0" fillId="0" borderId="11" xfId="0" applyBorder="1"/>
    <xf numFmtId="0" fontId="0" fillId="0" borderId="5" xfId="0" applyBorder="1"/>
    <xf numFmtId="0" fontId="5" fillId="0" borderId="8" xfId="0" applyFont="1" applyBorder="1"/>
    <xf numFmtId="0" fontId="5" fillId="0" borderId="0" xfId="0" applyFont="1"/>
    <xf numFmtId="0" fontId="5" fillId="0" borderId="9" xfId="0" applyFont="1" applyBorder="1"/>
    <xf numFmtId="0" fontId="6" fillId="0" borderId="0" xfId="0" applyFont="1" applyFill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 vertical="top" indent="1"/>
    </xf>
    <xf numFmtId="165" fontId="5" fillId="0" borderId="0" xfId="2" applyNumberFormat="1" applyFont="1" applyBorder="1" applyAlignment="1">
      <alignment vertical="top"/>
    </xf>
    <xf numFmtId="164" fontId="5" fillId="0" borderId="0" xfId="1" applyNumberFormat="1" applyFont="1" applyBorder="1" applyAlignment="1">
      <alignment vertical="top"/>
    </xf>
    <xf numFmtId="164" fontId="5" fillId="0" borderId="0" xfId="1" applyNumberFormat="1" applyFont="1" applyFill="1" applyBorder="1" applyAlignment="1">
      <alignment vertical="top"/>
    </xf>
    <xf numFmtId="164" fontId="5" fillId="0" borderId="1" xfId="1" applyNumberFormat="1" applyFont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164" fontId="3" fillId="0" borderId="2" xfId="1" applyNumberFormat="1" applyFont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indent="1"/>
    </xf>
    <xf numFmtId="0" fontId="5" fillId="0" borderId="0" xfId="0" applyFont="1" applyFill="1" applyBorder="1" applyAlignment="1">
      <alignment vertical="top"/>
    </xf>
    <xf numFmtId="164" fontId="5" fillId="0" borderId="1" xfId="1" applyNumberFormat="1" applyFont="1" applyFill="1" applyBorder="1" applyAlignment="1">
      <alignment vertical="top"/>
    </xf>
    <xf numFmtId="164" fontId="5" fillId="0" borderId="2" xfId="0" applyNumberFormat="1" applyFont="1" applyBorder="1" applyAlignment="1">
      <alignment vertical="top"/>
    </xf>
    <xf numFmtId="164" fontId="3" fillId="0" borderId="2" xfId="0" applyNumberFormat="1" applyFont="1" applyBorder="1" applyAlignment="1">
      <alignment vertical="top"/>
    </xf>
    <xf numFmtId="0" fontId="5" fillId="0" borderId="0" xfId="0" applyFont="1" applyBorder="1" applyAlignment="1">
      <alignment horizontal="left" indent="1"/>
    </xf>
    <xf numFmtId="164" fontId="5" fillId="0" borderId="0" xfId="1" applyNumberFormat="1" applyFont="1" applyBorder="1"/>
    <xf numFmtId="164" fontId="5" fillId="0" borderId="1" xfId="1" applyNumberFormat="1" applyFont="1" applyBorder="1"/>
    <xf numFmtId="164" fontId="3" fillId="0" borderId="2" xfId="1" applyNumberFormat="1" applyFont="1" applyFill="1" applyBorder="1" applyAlignment="1">
      <alignment vertical="top"/>
    </xf>
    <xf numFmtId="0" fontId="8" fillId="0" borderId="0" xfId="3" applyFont="1" applyBorder="1" applyAlignment="1" applyProtection="1">
      <alignment vertical="top"/>
    </xf>
    <xf numFmtId="165" fontId="0" fillId="0" borderId="0" xfId="0" applyNumberFormat="1" applyBorder="1"/>
    <xf numFmtId="165" fontId="5" fillId="0" borderId="0" xfId="0" applyNumberFormat="1" applyFont="1" applyBorder="1"/>
    <xf numFmtId="37" fontId="3" fillId="0" borderId="1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165" fontId="5" fillId="0" borderId="0" xfId="2" applyNumberFormat="1" applyFont="1" applyFill="1" applyBorder="1" applyAlignment="1">
      <alignment vertical="top"/>
    </xf>
    <xf numFmtId="164" fontId="5" fillId="0" borderId="2" xfId="0" applyNumberFormat="1" applyFont="1" applyFill="1" applyBorder="1" applyAlignment="1">
      <alignment vertical="top"/>
    </xf>
    <xf numFmtId="164" fontId="3" fillId="0" borderId="2" xfId="0" applyNumberFormat="1" applyFont="1" applyFill="1" applyBorder="1" applyAlignment="1">
      <alignment vertical="top"/>
    </xf>
    <xf numFmtId="164" fontId="5" fillId="0" borderId="0" xfId="1" applyNumberFormat="1" applyFont="1" applyFill="1" applyBorder="1"/>
    <xf numFmtId="164" fontId="5" fillId="0" borderId="1" xfId="1" applyNumberFormat="1" applyFont="1" applyFill="1" applyBorder="1"/>
    <xf numFmtId="0" fontId="10" fillId="0" borderId="0" xfId="0" applyFont="1" applyBorder="1"/>
    <xf numFmtId="0" fontId="3" fillId="0" borderId="8" xfId="0" applyFont="1" applyBorder="1"/>
    <xf numFmtId="0" fontId="3" fillId="0" borderId="0" xfId="0" applyFont="1" applyBorder="1" applyAlignment="1">
      <alignment vertical="top"/>
    </xf>
    <xf numFmtId="0" fontId="3" fillId="0" borderId="9" xfId="0" applyFont="1" applyBorder="1"/>
    <xf numFmtId="0" fontId="3" fillId="0" borderId="0" xfId="0" applyFont="1"/>
    <xf numFmtId="9" fontId="0" fillId="0" borderId="0" xfId="4" applyFont="1" applyBorder="1"/>
    <xf numFmtId="165" fontId="5" fillId="0" borderId="0" xfId="4" applyNumberFormat="1" applyFont="1" applyBorder="1"/>
    <xf numFmtId="164" fontId="3" fillId="0" borderId="0" xfId="0" applyNumberFormat="1" applyFont="1"/>
    <xf numFmtId="9" fontId="5" fillId="0" borderId="0" xfId="4" applyFont="1" applyBorder="1"/>
    <xf numFmtId="9" fontId="5" fillId="0" borderId="0" xfId="4" applyFont="1"/>
    <xf numFmtId="164" fontId="3" fillId="0" borderId="1" xfId="1" applyNumberFormat="1" applyFont="1" applyBorder="1"/>
    <xf numFmtId="164" fontId="3" fillId="0" borderId="1" xfId="1" applyNumberFormat="1" applyFont="1" applyFill="1" applyBorder="1"/>
    <xf numFmtId="0" fontId="3" fillId="0" borderId="0" xfId="0" applyFont="1" applyBorder="1"/>
    <xf numFmtId="165" fontId="3" fillId="0" borderId="3" xfId="2" applyNumberFormat="1" applyFont="1" applyBorder="1" applyAlignment="1">
      <alignment vertical="top"/>
    </xf>
    <xf numFmtId="165" fontId="3" fillId="0" borderId="3" xfId="2" applyNumberFormat="1" applyFont="1" applyFill="1" applyBorder="1" applyAlignment="1">
      <alignment vertical="top"/>
    </xf>
    <xf numFmtId="0" fontId="2" fillId="0" borderId="0" xfId="0" applyFont="1" applyBorder="1" applyAlignment="1">
      <alignment horizontal="left" wrapText="1"/>
    </xf>
    <xf numFmtId="0" fontId="3" fillId="0" borderId="8" xfId="0" applyFont="1" applyFill="1" applyBorder="1"/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164" fontId="3" fillId="0" borderId="0" xfId="1" applyNumberFormat="1" applyFont="1" applyFill="1" applyBorder="1" applyAlignment="1">
      <alignment vertical="top"/>
    </xf>
    <xf numFmtId="0" fontId="3" fillId="0" borderId="9" xfId="0" applyFont="1" applyFill="1" applyBorder="1"/>
    <xf numFmtId="0" fontId="3" fillId="0" borderId="0" xfId="0" applyFont="1" applyFill="1"/>
    <xf numFmtId="0" fontId="5" fillId="0" borderId="8" xfId="0" applyFont="1" applyFill="1" applyBorder="1"/>
    <xf numFmtId="0" fontId="5" fillId="0" borderId="0" xfId="0" applyFont="1" applyFill="1" applyBorder="1" applyAlignment="1">
      <alignment horizontal="left" indent="1"/>
    </xf>
    <xf numFmtId="0" fontId="5" fillId="0" borderId="9" xfId="0" applyFont="1" applyFill="1" applyBorder="1"/>
    <xf numFmtId="0" fontId="5" fillId="0" borderId="0" xfId="0" applyFont="1" applyFill="1"/>
    <xf numFmtId="165" fontId="3" fillId="0" borderId="0" xfId="0" applyNumberFormat="1" applyFont="1"/>
    <xf numFmtId="165" fontId="3" fillId="0" borderId="0" xfId="4" applyNumberFormat="1" applyFont="1" applyBorder="1" applyAlignment="1">
      <alignment vertical="top"/>
    </xf>
    <xf numFmtId="10" fontId="5" fillId="0" borderId="0" xfId="4" applyNumberFormat="1" applyFont="1" applyBorder="1"/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Operating Revenues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'$'!$B$11</c:f>
              <c:strCache>
                <c:ptCount val="1"/>
                <c:pt idx="0">
                  <c:v>Net Tuition and Fees (see also Table 4-3 )</c:v>
                </c:pt>
              </c:strCache>
            </c:strRef>
          </c:tx>
          <c:invertIfNegative val="0"/>
          <c:cat>
            <c:strRef>
              <c:f>'$'!$G$9:$X$9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FY2017(4)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'$'!$G$11:$X$11</c:f>
              <c:numCache>
                <c:formatCode>_("$"* #,##0_);_("$"* \(#,##0\);_("$"* "-"??_);_(@_)</c:formatCode>
                <c:ptCount val="10"/>
                <c:pt idx="0">
                  <c:v>77429</c:v>
                </c:pt>
                <c:pt idx="1">
                  <c:v>78497</c:v>
                </c:pt>
                <c:pt idx="2">
                  <c:v>81651</c:v>
                </c:pt>
                <c:pt idx="3">
                  <c:v>83951</c:v>
                </c:pt>
                <c:pt idx="4">
                  <c:v>89779</c:v>
                </c:pt>
                <c:pt idx="5">
                  <c:v>87482</c:v>
                </c:pt>
                <c:pt idx="6">
                  <c:v>90468</c:v>
                </c:pt>
                <c:pt idx="7">
                  <c:v>84906</c:v>
                </c:pt>
                <c:pt idx="8">
                  <c:v>84928</c:v>
                </c:pt>
                <c:pt idx="9">
                  <c:v>86185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5D-48D7-AC60-57A50B3D1AF3}"/>
            </c:ext>
          </c:extLst>
        </c:ser>
        <c:ser>
          <c:idx val="1"/>
          <c:order val="1"/>
          <c:tx>
            <c:strRef>
              <c:f>'$'!$B$12</c:f>
              <c:strCache>
                <c:ptCount val="1"/>
                <c:pt idx="0">
                  <c:v>Grants and Contracts (see also Table 8-1)</c:v>
                </c:pt>
              </c:strCache>
            </c:strRef>
          </c:tx>
          <c:invertIfNegative val="0"/>
          <c:cat>
            <c:strRef>
              <c:f>'$'!$G$9:$X$9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FY2017(4)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'$'!$G$12:$X$12</c:f>
              <c:numCache>
                <c:formatCode>_(* #,##0_);_(* \(#,##0\);_(* "-"??_);_(@_)</c:formatCode>
                <c:ptCount val="10"/>
                <c:pt idx="0">
                  <c:v>17680</c:v>
                </c:pt>
                <c:pt idx="1">
                  <c:v>23634</c:v>
                </c:pt>
                <c:pt idx="2">
                  <c:v>22950</c:v>
                </c:pt>
                <c:pt idx="3">
                  <c:v>23464</c:v>
                </c:pt>
                <c:pt idx="4">
                  <c:v>19541</c:v>
                </c:pt>
                <c:pt idx="5">
                  <c:v>17633</c:v>
                </c:pt>
                <c:pt idx="6">
                  <c:v>18533</c:v>
                </c:pt>
                <c:pt idx="7">
                  <c:v>21038</c:v>
                </c:pt>
                <c:pt idx="8">
                  <c:v>24266</c:v>
                </c:pt>
                <c:pt idx="9">
                  <c:v>28706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5D-48D7-AC60-57A50B3D1AF3}"/>
            </c:ext>
          </c:extLst>
        </c:ser>
        <c:ser>
          <c:idx val="2"/>
          <c:order val="2"/>
          <c:tx>
            <c:strRef>
              <c:f>'$'!$B$13</c:f>
              <c:strCache>
                <c:ptCount val="1"/>
                <c:pt idx="0">
                  <c:v>Auxiliary Enterprises</c:v>
                </c:pt>
              </c:strCache>
            </c:strRef>
          </c:tx>
          <c:invertIfNegative val="0"/>
          <c:cat>
            <c:strRef>
              <c:f>'$'!$G$9:$X$9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FY2017(4)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'$'!$G$13:$X$13</c:f>
              <c:numCache>
                <c:formatCode>_(* #,##0_);_(* \(#,##0\);_(* "-"??_);_(@_)</c:formatCode>
                <c:ptCount val="10"/>
                <c:pt idx="0">
                  <c:v>25228</c:v>
                </c:pt>
                <c:pt idx="1">
                  <c:v>19538</c:v>
                </c:pt>
                <c:pt idx="2">
                  <c:v>18017</c:v>
                </c:pt>
                <c:pt idx="3">
                  <c:v>18369</c:v>
                </c:pt>
                <c:pt idx="4">
                  <c:v>10169</c:v>
                </c:pt>
                <c:pt idx="5">
                  <c:v>10428</c:v>
                </c:pt>
                <c:pt idx="6">
                  <c:v>10588</c:v>
                </c:pt>
                <c:pt idx="7">
                  <c:v>15896</c:v>
                </c:pt>
                <c:pt idx="8">
                  <c:v>15352</c:v>
                </c:pt>
                <c:pt idx="9">
                  <c:v>16580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5D-48D7-AC60-57A50B3D1AF3}"/>
            </c:ext>
          </c:extLst>
        </c:ser>
        <c:ser>
          <c:idx val="3"/>
          <c:order val="3"/>
          <c:tx>
            <c:strRef>
              <c:f>'$'!$B$14</c:f>
              <c:strCache>
                <c:ptCount val="1"/>
                <c:pt idx="0">
                  <c:v>All Other (net)</c:v>
                </c:pt>
              </c:strCache>
            </c:strRef>
          </c:tx>
          <c:invertIfNegative val="0"/>
          <c:cat>
            <c:strRef>
              <c:f>'$'!$G$9:$X$9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FY2017(4)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'$'!$G$14:$X$14</c:f>
              <c:numCache>
                <c:formatCode>_(* #,##0_);_(* \(#,##0\);_(* "-"??_);_(@_)</c:formatCode>
                <c:ptCount val="10"/>
                <c:pt idx="0">
                  <c:v>4938</c:v>
                </c:pt>
                <c:pt idx="1">
                  <c:v>4614</c:v>
                </c:pt>
                <c:pt idx="2">
                  <c:v>4851</c:v>
                </c:pt>
                <c:pt idx="3">
                  <c:v>4588</c:v>
                </c:pt>
                <c:pt idx="4">
                  <c:v>4425</c:v>
                </c:pt>
                <c:pt idx="5">
                  <c:v>3801</c:v>
                </c:pt>
                <c:pt idx="6">
                  <c:v>5230</c:v>
                </c:pt>
                <c:pt idx="7">
                  <c:v>5882</c:v>
                </c:pt>
                <c:pt idx="8">
                  <c:v>5780</c:v>
                </c:pt>
                <c:pt idx="9">
                  <c:v>4598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5D-48D7-AC60-57A50B3D1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69536"/>
        <c:axId val="40038400"/>
      </c:barChart>
      <c:catAx>
        <c:axId val="39969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0038400"/>
        <c:crosses val="autoZero"/>
        <c:auto val="1"/>
        <c:lblAlgn val="ctr"/>
        <c:lblOffset val="100"/>
        <c:noMultiLvlLbl val="0"/>
      </c:catAx>
      <c:valAx>
        <c:axId val="400384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(In Thousands)</a:t>
                </a:r>
              </a:p>
            </c:rich>
          </c:tx>
          <c:layout/>
          <c:overlay val="0"/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crossAx val="399695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 cap="flat"/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Operating Expenses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'$'!$B$17</c:f>
              <c:strCache>
                <c:ptCount val="1"/>
                <c:pt idx="0">
                  <c:v>Salaries and Wages</c:v>
                </c:pt>
              </c:strCache>
            </c:strRef>
          </c:tx>
          <c:invertIfNegative val="0"/>
          <c:cat>
            <c:strRef>
              <c:f>'$'!$G$9:$X$9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FY2017(4)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'$'!$G$17:$X$17</c:f>
              <c:numCache>
                <c:formatCode>_(* #,##0_);_(* \(#,##0\);_(* "-"??_);_(@_)</c:formatCode>
                <c:ptCount val="10"/>
                <c:pt idx="0">
                  <c:v>100228</c:v>
                </c:pt>
                <c:pt idx="1">
                  <c:v>103676</c:v>
                </c:pt>
                <c:pt idx="2">
                  <c:v>105445</c:v>
                </c:pt>
                <c:pt idx="3">
                  <c:v>105988</c:v>
                </c:pt>
                <c:pt idx="4">
                  <c:v>109877</c:v>
                </c:pt>
                <c:pt idx="5">
                  <c:v>110165</c:v>
                </c:pt>
                <c:pt idx="6">
                  <c:v>108129</c:v>
                </c:pt>
                <c:pt idx="7">
                  <c:v>103391</c:v>
                </c:pt>
                <c:pt idx="8">
                  <c:v>103741</c:v>
                </c:pt>
                <c:pt idx="9">
                  <c:v>105659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0E-4A08-AA2A-68DC2AD4F1CB}"/>
            </c:ext>
          </c:extLst>
        </c:ser>
        <c:ser>
          <c:idx val="1"/>
          <c:order val="1"/>
          <c:tx>
            <c:strRef>
              <c:f>'$'!$B$18</c:f>
              <c:strCache>
                <c:ptCount val="1"/>
                <c:pt idx="0">
                  <c:v>Staff Benefits</c:v>
                </c:pt>
              </c:strCache>
            </c:strRef>
          </c:tx>
          <c:invertIfNegative val="0"/>
          <c:cat>
            <c:strRef>
              <c:f>'$'!$G$9:$X$9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FY2017(4)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'$'!$G$18:$X$18</c:f>
              <c:numCache>
                <c:formatCode>_(* #,##0_);_(* \(#,##0\);_(* "-"??_);_(@_)</c:formatCode>
                <c:ptCount val="10"/>
                <c:pt idx="0">
                  <c:v>24585</c:v>
                </c:pt>
                <c:pt idx="1">
                  <c:v>26278</c:v>
                </c:pt>
                <c:pt idx="2">
                  <c:v>28116</c:v>
                </c:pt>
                <c:pt idx="3">
                  <c:v>30433</c:v>
                </c:pt>
                <c:pt idx="4">
                  <c:v>32870</c:v>
                </c:pt>
                <c:pt idx="5">
                  <c:v>32880</c:v>
                </c:pt>
                <c:pt idx="6">
                  <c:v>31940</c:v>
                </c:pt>
                <c:pt idx="7">
                  <c:v>30462</c:v>
                </c:pt>
                <c:pt idx="8">
                  <c:v>30938</c:v>
                </c:pt>
                <c:pt idx="9">
                  <c:v>32026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0E-4A08-AA2A-68DC2AD4F1CB}"/>
            </c:ext>
          </c:extLst>
        </c:ser>
        <c:ser>
          <c:idx val="2"/>
          <c:order val="2"/>
          <c:tx>
            <c:strRef>
              <c:f>'$'!$B$19</c:f>
              <c:strCache>
                <c:ptCount val="1"/>
                <c:pt idx="0">
                  <c:v>Supplies, Services and Other Operating Expenses</c:v>
                </c:pt>
              </c:strCache>
            </c:strRef>
          </c:tx>
          <c:invertIfNegative val="0"/>
          <c:cat>
            <c:strRef>
              <c:f>'$'!$G$9:$X$9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FY2017(4)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'$'!$G$19:$X$19</c:f>
              <c:numCache>
                <c:formatCode>_(* #,##0_);_(* \(#,##0\);_(* "-"??_);_(@_)</c:formatCode>
                <c:ptCount val="10"/>
                <c:pt idx="0">
                  <c:v>46372</c:v>
                </c:pt>
                <c:pt idx="1">
                  <c:v>41894</c:v>
                </c:pt>
                <c:pt idx="2">
                  <c:v>47470</c:v>
                </c:pt>
                <c:pt idx="3">
                  <c:v>47885</c:v>
                </c:pt>
                <c:pt idx="4">
                  <c:v>50557</c:v>
                </c:pt>
                <c:pt idx="5">
                  <c:v>57910</c:v>
                </c:pt>
                <c:pt idx="6">
                  <c:v>46450</c:v>
                </c:pt>
                <c:pt idx="7">
                  <c:v>47528</c:v>
                </c:pt>
                <c:pt idx="8">
                  <c:v>51208</c:v>
                </c:pt>
                <c:pt idx="9">
                  <c:v>58531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0E-4A08-AA2A-68DC2AD4F1CB}"/>
            </c:ext>
          </c:extLst>
        </c:ser>
        <c:ser>
          <c:idx val="3"/>
          <c:order val="3"/>
          <c:tx>
            <c:strRef>
              <c:f>'$'!$B$20</c:f>
              <c:strCache>
                <c:ptCount val="1"/>
                <c:pt idx="0">
                  <c:v>Scholarships and Fellowships</c:v>
                </c:pt>
              </c:strCache>
            </c:strRef>
          </c:tx>
          <c:invertIfNegative val="0"/>
          <c:cat>
            <c:strRef>
              <c:f>'$'!$G$9:$X$9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FY2017(4)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'$'!$G$20:$X$20</c:f>
              <c:numCache>
                <c:formatCode>_(* #,##0_);_(* \(#,##0\);_(* "-"??_);_(@_)</c:formatCode>
                <c:ptCount val="10"/>
                <c:pt idx="0">
                  <c:v>10069</c:v>
                </c:pt>
                <c:pt idx="1">
                  <c:v>10625</c:v>
                </c:pt>
                <c:pt idx="2">
                  <c:v>10761</c:v>
                </c:pt>
                <c:pt idx="3">
                  <c:v>10894</c:v>
                </c:pt>
                <c:pt idx="4">
                  <c:v>11734</c:v>
                </c:pt>
                <c:pt idx="5">
                  <c:v>11912</c:v>
                </c:pt>
                <c:pt idx="6">
                  <c:v>11164</c:v>
                </c:pt>
                <c:pt idx="7">
                  <c:v>10023</c:v>
                </c:pt>
                <c:pt idx="8">
                  <c:v>9693</c:v>
                </c:pt>
                <c:pt idx="9">
                  <c:v>9835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0E-4A08-AA2A-68DC2AD4F1CB}"/>
            </c:ext>
          </c:extLst>
        </c:ser>
        <c:ser>
          <c:idx val="4"/>
          <c:order val="4"/>
          <c:tx>
            <c:strRef>
              <c:f>'$'!$B$21</c:f>
              <c:strCache>
                <c:ptCount val="1"/>
                <c:pt idx="0">
                  <c:v>Depreciation &amp; Capital Expense</c:v>
                </c:pt>
              </c:strCache>
            </c:strRef>
          </c:tx>
          <c:invertIfNegative val="0"/>
          <c:cat>
            <c:strRef>
              <c:f>'$'!$G$9:$X$9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FY2017(4)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'$'!$G$21:$X$21</c:f>
              <c:numCache>
                <c:formatCode>_(* #,##0_);_(* \(#,##0\);_(* "-"??_);_(@_)</c:formatCode>
                <c:ptCount val="10"/>
                <c:pt idx="0">
                  <c:v>11975</c:v>
                </c:pt>
                <c:pt idx="1">
                  <c:v>12317</c:v>
                </c:pt>
                <c:pt idx="2">
                  <c:v>12491</c:v>
                </c:pt>
                <c:pt idx="3">
                  <c:v>12125</c:v>
                </c:pt>
                <c:pt idx="4">
                  <c:v>12717</c:v>
                </c:pt>
                <c:pt idx="5">
                  <c:v>12458</c:v>
                </c:pt>
                <c:pt idx="6">
                  <c:v>13436</c:v>
                </c:pt>
                <c:pt idx="7">
                  <c:v>16105</c:v>
                </c:pt>
                <c:pt idx="8">
                  <c:v>16626</c:v>
                </c:pt>
                <c:pt idx="9">
                  <c:v>17882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0E-4A08-AA2A-68DC2AD4F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53216"/>
        <c:axId val="41355520"/>
      </c:barChart>
      <c:catAx>
        <c:axId val="41353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1355520"/>
        <c:crosses val="autoZero"/>
        <c:auto val="1"/>
        <c:lblAlgn val="ctr"/>
        <c:lblOffset val="100"/>
        <c:noMultiLvlLbl val="0"/>
      </c:catAx>
      <c:valAx>
        <c:axId val="413555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(In Thousands)</a:t>
                </a:r>
              </a:p>
            </c:rich>
          </c:tx>
          <c:layout/>
          <c:overlay val="0"/>
        </c:title>
        <c:numFmt formatCode="&quot;$&quot;#,##0" sourceLinked="0"/>
        <c:majorTickMark val="none"/>
        <c:minorTickMark val="none"/>
        <c:tickLblPos val="nextTo"/>
        <c:crossAx val="413532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38100</xdr:rowOff>
    </xdr:from>
    <xdr:to>
      <xdr:col>1</xdr:col>
      <xdr:colOff>908685</xdr:colOff>
      <xdr:row>1</xdr:row>
      <xdr:rowOff>39024</xdr:rowOff>
    </xdr:to>
    <xdr:pic>
      <xdr:nvPicPr>
        <xdr:cNvPr id="2" name="Picture 1" descr="201 red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00025"/>
          <a:ext cx="6858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44</xdr:row>
      <xdr:rowOff>142875</xdr:rowOff>
    </xdr:from>
    <xdr:to>
      <xdr:col>24</xdr:col>
      <xdr:colOff>28575</xdr:colOff>
      <xdr:row>61</xdr:row>
      <xdr:rowOff>133350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9524</xdr:colOff>
      <xdr:row>63</xdr:row>
      <xdr:rowOff>47625</xdr:rowOff>
    </xdr:from>
    <xdr:to>
      <xdr:col>24</xdr:col>
      <xdr:colOff>19049</xdr:colOff>
      <xdr:row>80</xdr:row>
      <xdr:rowOff>38100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1</xdr:row>
      <xdr:rowOff>19050</xdr:rowOff>
    </xdr:from>
    <xdr:to>
      <xdr:col>1</xdr:col>
      <xdr:colOff>1019175</xdr:colOff>
      <xdr:row>3</xdr:row>
      <xdr:rowOff>160623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80975"/>
          <a:ext cx="1019175" cy="465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2"/>
  <sheetViews>
    <sheetView showGridLines="0" tabSelected="1" zoomScaleNormal="100" zoomScaleSheetLayoutView="100" workbookViewId="0"/>
  </sheetViews>
  <sheetFormatPr defaultRowHeight="12.75" x14ac:dyDescent="0.2"/>
  <cols>
    <col min="1" max="1" width="2.7109375" style="18" customWidth="1"/>
    <col min="2" max="2" width="16.85546875" customWidth="1"/>
    <col min="6" max="6" width="6.5703125" customWidth="1"/>
    <col min="7" max="14" width="9.7109375" hidden="1" customWidth="1"/>
    <col min="15" max="24" width="9.7109375" customWidth="1"/>
    <col min="25" max="25" width="2.7109375" customWidth="1"/>
    <col min="26" max="27" width="9.5703125" bestFit="1" customWidth="1"/>
  </cols>
  <sheetData>
    <row r="1" spans="1:30" x14ac:dyDescent="0.2">
      <c r="A1" s="25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AC1" s="33"/>
      <c r="AD1" s="64"/>
    </row>
    <row r="2" spans="1:30" x14ac:dyDescent="0.2">
      <c r="A2" s="17"/>
      <c r="B2" s="4"/>
      <c r="C2" s="5" t="s">
        <v>19</v>
      </c>
      <c r="D2" s="5"/>
      <c r="E2" s="5"/>
      <c r="F2" s="5"/>
      <c r="G2" s="1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8"/>
      <c r="AC2" s="35"/>
      <c r="AD2" s="64"/>
    </row>
    <row r="3" spans="1:30" x14ac:dyDescent="0.2">
      <c r="A3" s="17"/>
      <c r="B3" s="4"/>
      <c r="C3" s="9" t="s">
        <v>42</v>
      </c>
      <c r="D3" s="9"/>
      <c r="E3" s="9"/>
      <c r="F3" s="9"/>
      <c r="G3" s="10"/>
      <c r="H3" s="11"/>
      <c r="I3" s="11"/>
      <c r="J3" s="11"/>
      <c r="K3" s="11"/>
      <c r="L3" s="11"/>
      <c r="M3" s="11"/>
      <c r="N3" s="11"/>
      <c r="O3" s="11"/>
      <c r="P3" s="11"/>
      <c r="Q3" s="4"/>
      <c r="R3" s="4"/>
      <c r="S3" s="4"/>
      <c r="T3" s="4"/>
      <c r="U3" s="4"/>
      <c r="V3" s="4"/>
      <c r="W3" s="4"/>
      <c r="X3" s="4"/>
      <c r="Y3" s="8"/>
      <c r="AC3" s="35"/>
      <c r="AD3" s="64"/>
    </row>
    <row r="4" spans="1:30" ht="13.5" thickBot="1" x14ac:dyDescent="0.25">
      <c r="A4" s="17"/>
      <c r="B4" s="4"/>
      <c r="C4" s="12" t="s">
        <v>20</v>
      </c>
      <c r="D4" s="12"/>
      <c r="E4" s="12"/>
      <c r="F4" s="12"/>
      <c r="G4" s="13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8"/>
      <c r="AC4" s="35"/>
      <c r="AD4" s="64"/>
    </row>
    <row r="5" spans="1:30" ht="13.5" thickTop="1" x14ac:dyDescent="0.2">
      <c r="A5" s="17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8"/>
      <c r="AC5" s="34"/>
      <c r="AD5" s="64"/>
    </row>
    <row r="6" spans="1:30" x14ac:dyDescent="0.2">
      <c r="A6" s="17"/>
      <c r="B6" s="4"/>
      <c r="C6" s="4"/>
      <c r="D6" s="4"/>
      <c r="E6" s="4"/>
      <c r="F6" s="4"/>
      <c r="G6" s="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8"/>
      <c r="AC6" s="34"/>
      <c r="AD6" s="64"/>
    </row>
    <row r="7" spans="1:30" x14ac:dyDescent="0.2">
      <c r="A7" s="17"/>
      <c r="B7" s="4"/>
      <c r="C7" s="4"/>
      <c r="D7" s="4"/>
      <c r="E7" s="4"/>
      <c r="F7" s="4"/>
      <c r="G7" s="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8"/>
      <c r="AC7" s="46"/>
      <c r="AD7" s="64"/>
    </row>
    <row r="8" spans="1:30" x14ac:dyDescent="0.2">
      <c r="A8" s="17"/>
      <c r="B8" s="4"/>
      <c r="C8" s="16"/>
      <c r="D8" s="16"/>
      <c r="E8" s="16"/>
      <c r="F8" s="16"/>
      <c r="G8" s="16"/>
      <c r="H8" s="15"/>
      <c r="I8" s="15"/>
      <c r="J8" s="15"/>
      <c r="K8" s="15"/>
      <c r="L8" s="15"/>
      <c r="M8" s="15"/>
      <c r="N8" s="15"/>
      <c r="O8" s="15"/>
      <c r="P8" s="15"/>
      <c r="Q8" s="4"/>
      <c r="R8" s="4"/>
      <c r="S8" s="4"/>
      <c r="T8" s="4"/>
      <c r="U8" s="4"/>
      <c r="V8" s="4"/>
      <c r="W8" s="4"/>
      <c r="X8" s="4"/>
      <c r="Y8" s="8"/>
      <c r="AC8" s="46"/>
      <c r="AD8" s="64"/>
    </row>
    <row r="9" spans="1:30" s="27" customFormat="1" x14ac:dyDescent="0.2">
      <c r="A9" s="26"/>
      <c r="B9" s="29" t="s">
        <v>16</v>
      </c>
      <c r="C9" s="21"/>
      <c r="D9" s="21"/>
      <c r="E9" s="21"/>
      <c r="F9" s="21"/>
      <c r="G9" s="20" t="s">
        <v>21</v>
      </c>
      <c r="H9" s="20" t="s">
        <v>22</v>
      </c>
      <c r="I9" s="20" t="s">
        <v>23</v>
      </c>
      <c r="J9" s="20" t="s">
        <v>24</v>
      </c>
      <c r="K9" s="20" t="s">
        <v>25</v>
      </c>
      <c r="L9" s="20" t="s">
        <v>26</v>
      </c>
      <c r="M9" s="20" t="s">
        <v>27</v>
      </c>
      <c r="N9" s="52" t="s">
        <v>32</v>
      </c>
      <c r="O9" s="20" t="s">
        <v>33</v>
      </c>
      <c r="P9" s="20" t="s">
        <v>34</v>
      </c>
      <c r="Q9" s="20" t="s">
        <v>35</v>
      </c>
      <c r="R9" s="20" t="s">
        <v>36</v>
      </c>
      <c r="S9" s="20" t="s">
        <v>37</v>
      </c>
      <c r="T9" s="20" t="s">
        <v>45</v>
      </c>
      <c r="U9" s="20" t="s">
        <v>47</v>
      </c>
      <c r="V9" s="20" t="s">
        <v>51</v>
      </c>
      <c r="W9" s="20" t="s">
        <v>48</v>
      </c>
      <c r="X9" s="20" t="s">
        <v>53</v>
      </c>
      <c r="Y9" s="28"/>
      <c r="AC9" s="46"/>
      <c r="AD9" s="64"/>
    </row>
    <row r="10" spans="1:30" s="27" customFormat="1" x14ac:dyDescent="0.2">
      <c r="A10" s="26"/>
      <c r="B10" s="30" t="s">
        <v>7</v>
      </c>
      <c r="C10" s="30"/>
      <c r="D10" s="30"/>
      <c r="E10" s="30"/>
      <c r="F10" s="30"/>
      <c r="G10" s="30"/>
      <c r="H10" s="30"/>
      <c r="I10" s="30"/>
      <c r="J10" s="21"/>
      <c r="K10" s="21"/>
      <c r="L10" s="21"/>
      <c r="M10" s="21"/>
      <c r="N10" s="53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28"/>
      <c r="Z10" s="21"/>
      <c r="AA10" s="21"/>
      <c r="AC10" s="46"/>
      <c r="AD10" s="64"/>
    </row>
    <row r="11" spans="1:30" s="27" customFormat="1" x14ac:dyDescent="0.2">
      <c r="A11" s="26"/>
      <c r="B11" s="45" t="s">
        <v>29</v>
      </c>
      <c r="C11" s="30"/>
      <c r="D11" s="30"/>
      <c r="E11" s="49"/>
      <c r="F11" s="49"/>
      <c r="G11" s="33">
        <v>46314</v>
      </c>
      <c r="H11" s="33">
        <v>50203</v>
      </c>
      <c r="I11" s="33">
        <v>60307</v>
      </c>
      <c r="J11" s="33">
        <v>62439</v>
      </c>
      <c r="K11" s="33">
        <v>64727</v>
      </c>
      <c r="L11" s="33">
        <v>68758</v>
      </c>
      <c r="M11" s="33">
        <v>72112</v>
      </c>
      <c r="N11" s="54">
        <v>75896</v>
      </c>
      <c r="O11" s="33">
        <v>77429</v>
      </c>
      <c r="P11" s="33">
        <v>78497</v>
      </c>
      <c r="Q11" s="33">
        <v>81651</v>
      </c>
      <c r="R11" s="33">
        <v>83951</v>
      </c>
      <c r="S11" s="33">
        <v>89779</v>
      </c>
      <c r="T11" s="33">
        <v>87482</v>
      </c>
      <c r="U11" s="33">
        <v>90468</v>
      </c>
      <c r="V11" s="33">
        <v>84906</v>
      </c>
      <c r="W11" s="33">
        <v>84928</v>
      </c>
      <c r="X11" s="33">
        <v>86185</v>
      </c>
      <c r="Y11" s="28"/>
      <c r="AA11" s="33"/>
      <c r="AB11" s="87"/>
      <c r="AC11" s="65"/>
      <c r="AD11" s="64"/>
    </row>
    <row r="12" spans="1:30" s="27" customFormat="1" x14ac:dyDescent="0.2">
      <c r="A12" s="26"/>
      <c r="B12" s="45" t="s">
        <v>28</v>
      </c>
      <c r="C12" s="30"/>
      <c r="D12" s="30"/>
      <c r="E12" s="30"/>
      <c r="F12" s="30"/>
      <c r="G12" s="34">
        <f>14834+5552+3635</f>
        <v>24021</v>
      </c>
      <c r="H12" s="34">
        <f>16735+2265+4745</f>
        <v>23745</v>
      </c>
      <c r="I12" s="34">
        <f>13918+3057+4740</f>
        <v>21715</v>
      </c>
      <c r="J12" s="34">
        <f>15131+4294+4598</f>
        <v>24023</v>
      </c>
      <c r="K12" s="34">
        <f>17414+4716+3688</f>
        <v>25818</v>
      </c>
      <c r="L12" s="34">
        <f>18997+3705+5098</f>
        <v>27800</v>
      </c>
      <c r="M12" s="34">
        <f>21430+4382+5950</f>
        <v>31762</v>
      </c>
      <c r="N12" s="35">
        <f>11999+3383+5032</f>
        <v>20414</v>
      </c>
      <c r="O12" s="35">
        <f>11643+2403+3634</f>
        <v>17680</v>
      </c>
      <c r="P12" s="35">
        <f>12644+5450+5540</f>
        <v>23634</v>
      </c>
      <c r="Q12" s="35">
        <f>10247+7151+5552</f>
        <v>22950</v>
      </c>
      <c r="R12" s="35">
        <f>8337+9715+5412</f>
        <v>23464</v>
      </c>
      <c r="S12" s="35">
        <f>7030+8216+4295</f>
        <v>19541</v>
      </c>
      <c r="T12" s="35">
        <f>5687+7538+4408</f>
        <v>17633</v>
      </c>
      <c r="U12" s="35">
        <f>6223+7890+4420</f>
        <v>18533</v>
      </c>
      <c r="V12" s="35">
        <f>7137+9244+4657</f>
        <v>21038</v>
      </c>
      <c r="W12" s="35">
        <f>7528+9960+6778</f>
        <v>24266</v>
      </c>
      <c r="X12" s="35">
        <f>9728+11787+7191</f>
        <v>28706</v>
      </c>
      <c r="Y12" s="28"/>
      <c r="AA12" s="33"/>
      <c r="AB12" s="87"/>
    </row>
    <row r="13" spans="1:30" s="27" customFormat="1" x14ac:dyDescent="0.2">
      <c r="A13" s="26"/>
      <c r="B13" s="32" t="s">
        <v>0</v>
      </c>
      <c r="C13" s="30"/>
      <c r="D13" s="30"/>
      <c r="E13" s="30"/>
      <c r="F13" s="30"/>
      <c r="G13" s="34">
        <f>2814+6616+11426</f>
        <v>20856</v>
      </c>
      <c r="H13" s="34">
        <f>2672+6536+12961</f>
        <v>22169</v>
      </c>
      <c r="I13" s="34">
        <f>2521+6952+13716</f>
        <v>23189</v>
      </c>
      <c r="J13" s="34">
        <f>2353+6717+14751</f>
        <v>23821</v>
      </c>
      <c r="K13" s="34">
        <f>2648+7097+14101</f>
        <v>23846</v>
      </c>
      <c r="L13" s="34">
        <f>3374+7185+15068</f>
        <v>25627</v>
      </c>
      <c r="M13" s="34">
        <f>3756+7320+15177</f>
        <v>26253</v>
      </c>
      <c r="N13" s="35">
        <f>4169+7020+14064</f>
        <v>25253</v>
      </c>
      <c r="O13" s="35">
        <f>4072+6454+14702</f>
        <v>25228</v>
      </c>
      <c r="P13" s="35">
        <f>4039+718+14781</f>
        <v>19538</v>
      </c>
      <c r="Q13" s="35">
        <f>4674+662+12681</f>
        <v>18017</v>
      </c>
      <c r="R13" s="35">
        <f>4952+595+12822</f>
        <v>18369</v>
      </c>
      <c r="S13" s="35">
        <f>5817+622+3730</f>
        <v>10169</v>
      </c>
      <c r="T13" s="35">
        <f>6172+637+3619</f>
        <v>10428</v>
      </c>
      <c r="U13" s="35">
        <f>6215+575+3798</f>
        <v>10588</v>
      </c>
      <c r="V13" s="35">
        <f>5013+515+10368</f>
        <v>15896</v>
      </c>
      <c r="W13" s="35">
        <f>4604+447+10301</f>
        <v>15352</v>
      </c>
      <c r="X13" s="35">
        <f>4529+338+11713</f>
        <v>16580</v>
      </c>
      <c r="Y13" s="28"/>
      <c r="AA13" s="33"/>
      <c r="AB13" s="87"/>
    </row>
    <row r="14" spans="1:30" s="27" customFormat="1" x14ac:dyDescent="0.2">
      <c r="A14" s="26"/>
      <c r="B14" s="32" t="s">
        <v>8</v>
      </c>
      <c r="C14" s="30"/>
      <c r="D14" s="30"/>
      <c r="E14" s="30"/>
      <c r="F14" s="30"/>
      <c r="G14" s="36">
        <f>916+17+1305</f>
        <v>2238</v>
      </c>
      <c r="H14" s="36">
        <f>782+83+1605</f>
        <v>2470</v>
      </c>
      <c r="I14" s="36">
        <f>737+223+2636</f>
        <v>3596</v>
      </c>
      <c r="J14" s="36">
        <f>767+23+2912</f>
        <v>3702</v>
      </c>
      <c r="K14" s="36">
        <f>857+25+5022</f>
        <v>5904</v>
      </c>
      <c r="L14" s="36">
        <f>787+62+6990</f>
        <v>7839</v>
      </c>
      <c r="M14" s="36">
        <f>797+20+4206-6</f>
        <v>5017</v>
      </c>
      <c r="N14" s="42">
        <f>3515+1377</f>
        <v>4892</v>
      </c>
      <c r="O14" s="42">
        <f>3438+1500</f>
        <v>4938</v>
      </c>
      <c r="P14" s="42">
        <f>1356+3258</f>
        <v>4614</v>
      </c>
      <c r="Q14" s="42">
        <f>1092+3759</f>
        <v>4851</v>
      </c>
      <c r="R14" s="42">
        <f>1255+3333</f>
        <v>4588</v>
      </c>
      <c r="S14" s="42">
        <f>1540+2885</f>
        <v>4425</v>
      </c>
      <c r="T14" s="42">
        <f>1389+2412</f>
        <v>3801</v>
      </c>
      <c r="U14" s="42">
        <f>2684+2546</f>
        <v>5230</v>
      </c>
      <c r="V14" s="42">
        <f>2648+3234</f>
        <v>5882</v>
      </c>
      <c r="W14" s="42">
        <f>2928+2852</f>
        <v>5780</v>
      </c>
      <c r="X14" s="42">
        <f>1916+2682</f>
        <v>4598</v>
      </c>
      <c r="Y14" s="28"/>
      <c r="AA14" s="33"/>
      <c r="AB14" s="87"/>
    </row>
    <row r="15" spans="1:30" s="27" customFormat="1" x14ac:dyDescent="0.2">
      <c r="A15" s="26"/>
      <c r="B15" s="37" t="s">
        <v>9</v>
      </c>
      <c r="C15" s="30"/>
      <c r="D15" s="30"/>
      <c r="E15" s="30"/>
      <c r="F15" s="30"/>
      <c r="G15" s="38">
        <f t="shared" ref="G15:Q15" si="0">SUM(G11:G14)</f>
        <v>93429</v>
      </c>
      <c r="H15" s="38">
        <f t="shared" si="0"/>
        <v>98587</v>
      </c>
      <c r="I15" s="38">
        <f t="shared" si="0"/>
        <v>108807</v>
      </c>
      <c r="J15" s="38">
        <f t="shared" si="0"/>
        <v>113985</v>
      </c>
      <c r="K15" s="38">
        <f t="shared" si="0"/>
        <v>120295</v>
      </c>
      <c r="L15" s="38">
        <f t="shared" si="0"/>
        <v>130024</v>
      </c>
      <c r="M15" s="38">
        <f t="shared" si="0"/>
        <v>135144</v>
      </c>
      <c r="N15" s="48">
        <f>SUM(N11:N14)</f>
        <v>126455</v>
      </c>
      <c r="O15" s="48">
        <f t="shared" ref="O15" si="1">SUM(O11:O14)</f>
        <v>125275</v>
      </c>
      <c r="P15" s="48">
        <f t="shared" ref="P15" si="2">SUM(P11:P14)</f>
        <v>126283</v>
      </c>
      <c r="Q15" s="48">
        <f t="shared" si="0"/>
        <v>127469</v>
      </c>
      <c r="R15" s="48">
        <f t="shared" ref="R15:X15" si="3">SUM(R11:R14)</f>
        <v>130372</v>
      </c>
      <c r="S15" s="48">
        <f t="shared" ref="S15:W15" si="4">SUM(S11:S14)</f>
        <v>123914</v>
      </c>
      <c r="T15" s="48">
        <f t="shared" si="4"/>
        <v>119344</v>
      </c>
      <c r="U15" s="48">
        <f t="shared" si="4"/>
        <v>124819</v>
      </c>
      <c r="V15" s="48">
        <f t="shared" si="4"/>
        <v>127722</v>
      </c>
      <c r="W15" s="48">
        <f t="shared" si="4"/>
        <v>130326</v>
      </c>
      <c r="X15" s="48">
        <f t="shared" si="3"/>
        <v>136069</v>
      </c>
      <c r="Y15" s="28"/>
      <c r="Z15" s="34"/>
      <c r="AA15" s="67"/>
      <c r="AB15" s="67"/>
    </row>
    <row r="16" spans="1:30" s="27" customFormat="1" x14ac:dyDescent="0.2">
      <c r="A16" s="26"/>
      <c r="B16" s="39" t="s">
        <v>18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28"/>
      <c r="Z16" s="34"/>
      <c r="AA16" s="67"/>
      <c r="AB16" s="67"/>
    </row>
    <row r="17" spans="1:28" s="27" customFormat="1" x14ac:dyDescent="0.2">
      <c r="A17" s="26"/>
      <c r="B17" s="32" t="s">
        <v>10</v>
      </c>
      <c r="C17" s="30"/>
      <c r="D17" s="30"/>
      <c r="E17" s="30"/>
      <c r="F17" s="30"/>
      <c r="G17" s="35">
        <v>81061</v>
      </c>
      <c r="H17" s="35">
        <v>80687</v>
      </c>
      <c r="I17" s="35">
        <v>83344</v>
      </c>
      <c r="J17" s="35">
        <v>87924</v>
      </c>
      <c r="K17" s="35">
        <v>90185</v>
      </c>
      <c r="L17" s="35">
        <v>95878</v>
      </c>
      <c r="M17" s="35">
        <v>100482</v>
      </c>
      <c r="N17" s="35">
        <v>102953</v>
      </c>
      <c r="O17" s="35">
        <v>100228</v>
      </c>
      <c r="P17" s="35">
        <v>103676</v>
      </c>
      <c r="Q17" s="35">
        <v>105445</v>
      </c>
      <c r="R17" s="35">
        <v>105988</v>
      </c>
      <c r="S17" s="35">
        <v>109877</v>
      </c>
      <c r="T17" s="35">
        <v>110165</v>
      </c>
      <c r="U17" s="35">
        <v>108129</v>
      </c>
      <c r="V17" s="35">
        <v>103391</v>
      </c>
      <c r="W17" s="35">
        <v>103741</v>
      </c>
      <c r="X17" s="35">
        <v>105659</v>
      </c>
      <c r="Y17" s="28"/>
      <c r="Z17" s="33"/>
      <c r="AA17" s="87"/>
      <c r="AB17" s="67"/>
    </row>
    <row r="18" spans="1:28" s="27" customFormat="1" x14ac:dyDescent="0.2">
      <c r="A18" s="26"/>
      <c r="B18" s="32" t="s">
        <v>11</v>
      </c>
      <c r="C18" s="30"/>
      <c r="D18" s="30"/>
      <c r="E18" s="30"/>
      <c r="F18" s="30"/>
      <c r="G18" s="35">
        <v>14900</v>
      </c>
      <c r="H18" s="35">
        <v>14921</v>
      </c>
      <c r="I18" s="35">
        <v>19331</v>
      </c>
      <c r="J18" s="35">
        <v>20254</v>
      </c>
      <c r="K18" s="35">
        <v>22252</v>
      </c>
      <c r="L18" s="35">
        <v>24450</v>
      </c>
      <c r="M18" s="35">
        <v>25665</v>
      </c>
      <c r="N18" s="35">
        <v>25527</v>
      </c>
      <c r="O18" s="35">
        <v>24585</v>
      </c>
      <c r="P18" s="35">
        <v>26278</v>
      </c>
      <c r="Q18" s="35">
        <v>28116</v>
      </c>
      <c r="R18" s="35">
        <v>30433</v>
      </c>
      <c r="S18" s="35">
        <v>32870</v>
      </c>
      <c r="T18" s="35">
        <v>32880</v>
      </c>
      <c r="U18" s="35">
        <v>31940</v>
      </c>
      <c r="V18" s="35">
        <v>30462</v>
      </c>
      <c r="W18" s="35">
        <v>30938</v>
      </c>
      <c r="X18" s="35">
        <v>32026</v>
      </c>
      <c r="Y18" s="28"/>
      <c r="Z18" s="33"/>
      <c r="AA18" s="87"/>
      <c r="AB18" s="67"/>
    </row>
    <row r="19" spans="1:28" s="27" customFormat="1" x14ac:dyDescent="0.2">
      <c r="A19" s="26"/>
      <c r="B19" s="40" t="s">
        <v>17</v>
      </c>
      <c r="C19" s="41"/>
      <c r="D19" s="41"/>
      <c r="E19" s="41"/>
      <c r="F19" s="41"/>
      <c r="G19" s="35">
        <v>42991</v>
      </c>
      <c r="H19" s="35">
        <v>36683</v>
      </c>
      <c r="I19" s="35">
        <v>46983</v>
      </c>
      <c r="J19" s="35">
        <v>44693</v>
      </c>
      <c r="K19" s="35">
        <v>53043</v>
      </c>
      <c r="L19" s="35">
        <v>51751</v>
      </c>
      <c r="M19" s="35">
        <v>54096</v>
      </c>
      <c r="N19" s="35">
        <v>49924</v>
      </c>
      <c r="O19" s="35">
        <v>46372</v>
      </c>
      <c r="P19" s="35">
        <v>41894</v>
      </c>
      <c r="Q19" s="35">
        <v>47470</v>
      </c>
      <c r="R19" s="35">
        <v>47885</v>
      </c>
      <c r="S19" s="35">
        <v>50557</v>
      </c>
      <c r="T19" s="35">
        <v>57910</v>
      </c>
      <c r="U19" s="35">
        <v>46450</v>
      </c>
      <c r="V19" s="35">
        <v>47528</v>
      </c>
      <c r="W19" s="35">
        <v>51208</v>
      </c>
      <c r="X19" s="35">
        <v>58531</v>
      </c>
      <c r="Y19" s="28"/>
      <c r="Z19" s="33"/>
      <c r="AA19" s="87"/>
      <c r="AB19" s="67"/>
    </row>
    <row r="20" spans="1:28" s="27" customFormat="1" x14ac:dyDescent="0.2">
      <c r="A20" s="26"/>
      <c r="B20" s="32" t="s">
        <v>12</v>
      </c>
      <c r="C20" s="30"/>
      <c r="D20" s="30"/>
      <c r="E20" s="30"/>
      <c r="F20" s="30"/>
      <c r="G20" s="35">
        <v>4930</v>
      </c>
      <c r="H20" s="35">
        <v>3462</v>
      </c>
      <c r="I20" s="35">
        <v>3836</v>
      </c>
      <c r="J20" s="35">
        <v>4406</v>
      </c>
      <c r="K20" s="35">
        <v>4449</v>
      </c>
      <c r="L20" s="35">
        <v>4584</v>
      </c>
      <c r="M20" s="35">
        <v>4714</v>
      </c>
      <c r="N20" s="35">
        <v>7888</v>
      </c>
      <c r="O20" s="35">
        <v>10069</v>
      </c>
      <c r="P20" s="35">
        <v>10625</v>
      </c>
      <c r="Q20" s="35">
        <v>10761</v>
      </c>
      <c r="R20" s="35">
        <v>10894</v>
      </c>
      <c r="S20" s="35">
        <v>11734</v>
      </c>
      <c r="T20" s="35">
        <v>11912</v>
      </c>
      <c r="U20" s="35">
        <v>11164</v>
      </c>
      <c r="V20" s="35">
        <v>10023</v>
      </c>
      <c r="W20" s="35">
        <v>9693</v>
      </c>
      <c r="X20" s="35">
        <v>9835</v>
      </c>
      <c r="Y20" s="28"/>
      <c r="Z20" s="33"/>
      <c r="AA20" s="87"/>
      <c r="AB20" s="67"/>
    </row>
    <row r="21" spans="1:28" s="27" customFormat="1" x14ac:dyDescent="0.2">
      <c r="A21" s="26"/>
      <c r="B21" s="32" t="s">
        <v>13</v>
      </c>
      <c r="C21" s="30"/>
      <c r="D21" s="30"/>
      <c r="E21" s="30"/>
      <c r="F21" s="30"/>
      <c r="G21" s="42">
        <v>6148</v>
      </c>
      <c r="H21" s="42">
        <v>6159</v>
      </c>
      <c r="I21" s="42">
        <v>9418</v>
      </c>
      <c r="J21" s="42">
        <v>10072</v>
      </c>
      <c r="K21" s="42">
        <v>10180</v>
      </c>
      <c r="L21" s="42">
        <v>11690</v>
      </c>
      <c r="M21" s="42">
        <v>11628</v>
      </c>
      <c r="N21" s="42">
        <v>11914</v>
      </c>
      <c r="O21" s="42">
        <v>11975</v>
      </c>
      <c r="P21" s="42">
        <v>12317</v>
      </c>
      <c r="Q21" s="42">
        <v>12491</v>
      </c>
      <c r="R21" s="42">
        <v>12125</v>
      </c>
      <c r="S21" s="42">
        <v>12717</v>
      </c>
      <c r="T21" s="42">
        <v>12458</v>
      </c>
      <c r="U21" s="42">
        <v>13436</v>
      </c>
      <c r="V21" s="42">
        <v>16105</v>
      </c>
      <c r="W21" s="42">
        <v>16626</v>
      </c>
      <c r="X21" s="42">
        <v>17882</v>
      </c>
      <c r="Y21" s="28"/>
      <c r="Z21" s="33"/>
      <c r="AA21" s="87"/>
      <c r="AB21" s="67"/>
    </row>
    <row r="22" spans="1:28" s="27" customFormat="1" x14ac:dyDescent="0.2">
      <c r="A22" s="26"/>
      <c r="B22" s="21" t="s">
        <v>31</v>
      </c>
      <c r="C22" s="30"/>
      <c r="D22" s="30"/>
      <c r="E22" s="30"/>
      <c r="F22" s="30"/>
      <c r="G22" s="43">
        <f t="shared" ref="G22:Q22" si="5">SUM(G17:G21)</f>
        <v>150030</v>
      </c>
      <c r="H22" s="43">
        <f t="shared" si="5"/>
        <v>141912</v>
      </c>
      <c r="I22" s="43">
        <f t="shared" si="5"/>
        <v>162912</v>
      </c>
      <c r="J22" s="43">
        <f t="shared" si="5"/>
        <v>167349</v>
      </c>
      <c r="K22" s="43">
        <f t="shared" si="5"/>
        <v>180109</v>
      </c>
      <c r="L22" s="43">
        <f t="shared" si="5"/>
        <v>188353</v>
      </c>
      <c r="M22" s="43">
        <f t="shared" si="5"/>
        <v>196585</v>
      </c>
      <c r="N22" s="55">
        <f t="shared" ref="N22:P22" si="6">SUM(N17:N21)</f>
        <v>198206</v>
      </c>
      <c r="O22" s="43">
        <f t="shared" si="6"/>
        <v>193229</v>
      </c>
      <c r="P22" s="43">
        <f t="shared" si="6"/>
        <v>194790</v>
      </c>
      <c r="Q22" s="43">
        <f t="shared" si="5"/>
        <v>204283</v>
      </c>
      <c r="R22" s="43">
        <f t="shared" ref="R22:X22" si="7">SUM(R17:R21)</f>
        <v>207325</v>
      </c>
      <c r="S22" s="43">
        <f t="shared" ref="S22:W22" si="8">SUM(S17:S21)</f>
        <v>217755</v>
      </c>
      <c r="T22" s="43">
        <f t="shared" si="8"/>
        <v>225325</v>
      </c>
      <c r="U22" s="43">
        <f t="shared" si="8"/>
        <v>211119</v>
      </c>
      <c r="V22" s="43">
        <f t="shared" si="8"/>
        <v>207509</v>
      </c>
      <c r="W22" s="43">
        <f t="shared" si="8"/>
        <v>212206</v>
      </c>
      <c r="X22" s="43">
        <f t="shared" si="7"/>
        <v>223933</v>
      </c>
      <c r="Y22" s="28"/>
      <c r="Z22" s="86"/>
      <c r="AA22" s="87"/>
      <c r="AB22" s="67"/>
    </row>
    <row r="23" spans="1:28" s="27" customFormat="1" x14ac:dyDescent="0.2">
      <c r="A23" s="26"/>
      <c r="B23" s="37" t="s">
        <v>14</v>
      </c>
      <c r="C23" s="30"/>
      <c r="D23" s="30"/>
      <c r="E23" s="30"/>
      <c r="F23" s="30"/>
      <c r="G23" s="44">
        <f t="shared" ref="G23:Q23" si="9">G15-G22</f>
        <v>-56601</v>
      </c>
      <c r="H23" s="44">
        <f t="shared" si="9"/>
        <v>-43325</v>
      </c>
      <c r="I23" s="44">
        <f t="shared" si="9"/>
        <v>-54105</v>
      </c>
      <c r="J23" s="44">
        <f t="shared" si="9"/>
        <v>-53364</v>
      </c>
      <c r="K23" s="44">
        <f t="shared" si="9"/>
        <v>-59814</v>
      </c>
      <c r="L23" s="44">
        <f t="shared" si="9"/>
        <v>-58329</v>
      </c>
      <c r="M23" s="44">
        <f t="shared" si="9"/>
        <v>-61441</v>
      </c>
      <c r="N23" s="56">
        <f t="shared" ref="N23:P23" si="10">N15-N22</f>
        <v>-71751</v>
      </c>
      <c r="O23" s="44">
        <f t="shared" si="10"/>
        <v>-67954</v>
      </c>
      <c r="P23" s="44">
        <f t="shared" si="10"/>
        <v>-68507</v>
      </c>
      <c r="Q23" s="44">
        <f t="shared" si="9"/>
        <v>-76814</v>
      </c>
      <c r="R23" s="44">
        <f t="shared" ref="R23:X23" si="11">R15-R22</f>
        <v>-76953</v>
      </c>
      <c r="S23" s="44">
        <f t="shared" ref="S23:W23" si="12">S15-S22</f>
        <v>-93841</v>
      </c>
      <c r="T23" s="44">
        <f t="shared" si="12"/>
        <v>-105981</v>
      </c>
      <c r="U23" s="44">
        <f t="shared" si="12"/>
        <v>-86300</v>
      </c>
      <c r="V23" s="44">
        <f t="shared" si="12"/>
        <v>-79787</v>
      </c>
      <c r="W23" s="44">
        <f t="shared" si="12"/>
        <v>-81880</v>
      </c>
      <c r="X23" s="44">
        <f t="shared" si="11"/>
        <v>-87864</v>
      </c>
      <c r="Y23" s="28"/>
      <c r="Z23" s="21"/>
      <c r="AA23" s="21"/>
      <c r="AB23" s="67"/>
    </row>
    <row r="24" spans="1:28" s="27" customFormat="1" x14ac:dyDescent="0.2">
      <c r="A24" s="26"/>
      <c r="B24" s="39" t="s">
        <v>15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41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28"/>
      <c r="AB24" s="67"/>
    </row>
    <row r="25" spans="1:28" s="27" customFormat="1" x14ac:dyDescent="0.2">
      <c r="A25" s="26"/>
      <c r="B25" s="32" t="s">
        <v>1</v>
      </c>
      <c r="C25" s="30"/>
      <c r="D25" s="30"/>
      <c r="E25" s="30"/>
      <c r="F25" s="30"/>
      <c r="G25" s="34">
        <v>46593</v>
      </c>
      <c r="H25" s="34">
        <v>48337</v>
      </c>
      <c r="I25" s="34">
        <v>46428</v>
      </c>
      <c r="J25" s="34">
        <v>49570</v>
      </c>
      <c r="K25" s="34">
        <v>50470</v>
      </c>
      <c r="L25" s="34">
        <v>53556</v>
      </c>
      <c r="M25" s="34">
        <v>56072</v>
      </c>
      <c r="N25" s="35">
        <v>61145</v>
      </c>
      <c r="O25" s="34">
        <v>63585</v>
      </c>
      <c r="P25" s="34">
        <v>58364</v>
      </c>
      <c r="Q25" s="34">
        <v>53499</v>
      </c>
      <c r="R25" s="34">
        <v>53245</v>
      </c>
      <c r="S25" s="34">
        <v>54338</v>
      </c>
      <c r="T25" s="34">
        <v>57970</v>
      </c>
      <c r="U25" s="34">
        <v>59315</v>
      </c>
      <c r="V25" s="34">
        <v>56929</v>
      </c>
      <c r="W25" s="34">
        <v>55817</v>
      </c>
      <c r="X25" s="34">
        <v>55817</v>
      </c>
      <c r="Y25" s="28"/>
      <c r="AA25" s="33"/>
      <c r="AB25" s="87"/>
    </row>
    <row r="26" spans="1:28" s="27" customFormat="1" x14ac:dyDescent="0.2">
      <c r="A26" s="26"/>
      <c r="B26" s="32" t="s">
        <v>30</v>
      </c>
      <c r="C26" s="30"/>
      <c r="D26" s="30"/>
      <c r="E26" s="30"/>
      <c r="F26" s="30"/>
      <c r="G26" s="34"/>
      <c r="H26" s="34"/>
      <c r="I26" s="34"/>
      <c r="J26" s="34"/>
      <c r="K26" s="34"/>
      <c r="L26" s="34"/>
      <c r="M26" s="34"/>
      <c r="N26" s="35">
        <v>9321</v>
      </c>
      <c r="O26" s="34">
        <v>14226</v>
      </c>
      <c r="P26" s="34">
        <v>16116</v>
      </c>
      <c r="Q26" s="34">
        <v>16816</v>
      </c>
      <c r="R26" s="34">
        <v>16104</v>
      </c>
      <c r="S26" s="34">
        <v>16087</v>
      </c>
      <c r="T26" s="34">
        <v>15723</v>
      </c>
      <c r="U26" s="34">
        <v>14931</v>
      </c>
      <c r="V26" s="34">
        <v>13319</v>
      </c>
      <c r="W26" s="34">
        <v>14079</v>
      </c>
      <c r="X26" s="34">
        <v>13984</v>
      </c>
      <c r="Y26" s="28"/>
      <c r="AA26" s="33"/>
      <c r="AB26" s="87"/>
    </row>
    <row r="27" spans="1:28" s="27" customFormat="1" x14ac:dyDescent="0.2">
      <c r="A27" s="26"/>
      <c r="B27" s="45" t="s">
        <v>2</v>
      </c>
      <c r="C27" s="30"/>
      <c r="D27" s="30"/>
      <c r="E27" s="30"/>
      <c r="F27" s="30"/>
      <c r="G27" s="34">
        <f>35</f>
        <v>35</v>
      </c>
      <c r="H27" s="34">
        <f>3165</f>
        <v>3165</v>
      </c>
      <c r="I27" s="34">
        <v>6496</v>
      </c>
      <c r="J27" s="34">
        <v>4455</v>
      </c>
      <c r="K27" s="34">
        <v>6572</v>
      </c>
      <c r="L27" s="34">
        <v>9806</v>
      </c>
      <c r="M27" s="34">
        <v>-678</v>
      </c>
      <c r="N27" s="35">
        <v>-7452</v>
      </c>
      <c r="O27" s="34">
        <v>6734</v>
      </c>
      <c r="P27" s="34">
        <v>11459</v>
      </c>
      <c r="Q27" s="34">
        <v>916</v>
      </c>
      <c r="R27" s="34">
        <v>8601</v>
      </c>
      <c r="S27" s="34">
        <v>12047</v>
      </c>
      <c r="T27" s="34">
        <v>4004</v>
      </c>
      <c r="U27" s="34">
        <v>1440</v>
      </c>
      <c r="V27" s="34">
        <v>10761</v>
      </c>
      <c r="W27" s="34">
        <v>8639</v>
      </c>
      <c r="X27" s="34">
        <v>6378</v>
      </c>
      <c r="Y27" s="28"/>
      <c r="AA27" s="33"/>
      <c r="AB27" s="87"/>
    </row>
    <row r="28" spans="1:28" s="27" customFormat="1" x14ac:dyDescent="0.2">
      <c r="A28" s="26"/>
      <c r="B28" s="45" t="s">
        <v>3</v>
      </c>
      <c r="C28" s="30"/>
      <c r="D28" s="30"/>
      <c r="E28" s="30"/>
      <c r="F28" s="30"/>
      <c r="G28" s="46">
        <f>6151+3424</f>
        <v>9575</v>
      </c>
      <c r="H28" s="46">
        <f>6185+1055</f>
        <v>7240</v>
      </c>
      <c r="I28" s="46">
        <f>5059+2881</f>
        <v>7940</v>
      </c>
      <c r="J28" s="46">
        <f>4353+1151</f>
        <v>5504</v>
      </c>
      <c r="K28" s="46">
        <f>5841+350</f>
        <v>6191</v>
      </c>
      <c r="L28" s="46">
        <f>6552+819</f>
        <v>7371</v>
      </c>
      <c r="M28" s="46">
        <f>6343+1552</f>
        <v>7895</v>
      </c>
      <c r="N28" s="57">
        <f>4974+3915</f>
        <v>8889</v>
      </c>
      <c r="O28" s="46">
        <f>10285+1282</f>
        <v>11567</v>
      </c>
      <c r="P28" s="46">
        <f>9653+2956</f>
        <v>12609</v>
      </c>
      <c r="Q28" s="46">
        <f>7370+2956</f>
        <v>10326</v>
      </c>
      <c r="R28" s="46">
        <f>8509+3681</f>
        <v>12190</v>
      </c>
      <c r="S28" s="46">
        <f>9171+4967</f>
        <v>14138</v>
      </c>
      <c r="T28" s="46">
        <f>8265+2622</f>
        <v>10887</v>
      </c>
      <c r="U28" s="46">
        <f>14663+1454</f>
        <v>16117</v>
      </c>
      <c r="V28" s="46">
        <f>11832+1867</f>
        <v>13699</v>
      </c>
      <c r="W28" s="46">
        <f>11593+1483</f>
        <v>13076</v>
      </c>
      <c r="X28" s="46">
        <f>12601+2815</f>
        <v>15416</v>
      </c>
      <c r="Y28" s="28"/>
      <c r="AA28" s="33"/>
      <c r="AB28" s="87"/>
    </row>
    <row r="29" spans="1:28" s="27" customFormat="1" x14ac:dyDescent="0.2">
      <c r="A29" s="26"/>
      <c r="B29" s="45" t="s">
        <v>4</v>
      </c>
      <c r="C29" s="30"/>
      <c r="D29" s="30"/>
      <c r="E29" s="30"/>
      <c r="F29" s="30"/>
      <c r="G29" s="46">
        <v>19069</v>
      </c>
      <c r="H29" s="46">
        <v>899</v>
      </c>
      <c r="I29" s="46">
        <v>30</v>
      </c>
      <c r="J29" s="46">
        <v>95</v>
      </c>
      <c r="K29" s="46">
        <v>1153</v>
      </c>
      <c r="L29" s="46">
        <v>882</v>
      </c>
      <c r="M29" s="46">
        <f>217+746</f>
        <v>963</v>
      </c>
      <c r="N29" s="57">
        <f>412+4988</f>
        <v>5400</v>
      </c>
      <c r="O29" s="46">
        <f>481+3271</f>
        <v>3752</v>
      </c>
      <c r="P29" s="46">
        <v>1190</v>
      </c>
      <c r="Q29" s="46">
        <v>2961</v>
      </c>
      <c r="R29" s="46">
        <v>1637</v>
      </c>
      <c r="S29" s="46">
        <v>1420</v>
      </c>
      <c r="T29" s="46">
        <f>1065+2694</f>
        <v>3759</v>
      </c>
      <c r="U29" s="46">
        <f>4321+2231</f>
        <v>6552</v>
      </c>
      <c r="V29" s="46">
        <f>9676+1146</f>
        <v>10822</v>
      </c>
      <c r="W29" s="46">
        <f>8564+1002</f>
        <v>9566</v>
      </c>
      <c r="X29" s="46">
        <v>1111</v>
      </c>
      <c r="Y29" s="28"/>
      <c r="AA29" s="33"/>
      <c r="AB29" s="87"/>
    </row>
    <row r="30" spans="1:28" s="27" customFormat="1" x14ac:dyDescent="0.2">
      <c r="A30" s="26"/>
      <c r="B30" s="45" t="s">
        <v>6</v>
      </c>
      <c r="C30" s="30"/>
      <c r="D30" s="30"/>
      <c r="E30" s="30"/>
      <c r="F30" s="30"/>
      <c r="G30" s="46">
        <f>2150-553+55</f>
        <v>1652</v>
      </c>
      <c r="H30" s="46">
        <f>-2848-551+55</f>
        <v>-3344</v>
      </c>
      <c r="I30" s="46">
        <f>-2861-558</f>
        <v>-3419</v>
      </c>
      <c r="J30" s="46">
        <f>-2833-580</f>
        <v>-3413</v>
      </c>
      <c r="K30" s="46">
        <f>-2944-581</f>
        <v>-3525</v>
      </c>
      <c r="L30" s="46">
        <f>-3588-642</f>
        <v>-4230</v>
      </c>
      <c r="M30" s="46">
        <f>-3465-1723</f>
        <v>-5188</v>
      </c>
      <c r="N30" s="57">
        <f>-3348-2043</f>
        <v>-5391</v>
      </c>
      <c r="O30" s="46">
        <f>-3457-667</f>
        <v>-4124</v>
      </c>
      <c r="P30" s="46">
        <f>-3301-522</f>
        <v>-3823</v>
      </c>
      <c r="Q30" s="46">
        <f>-3293-242</f>
        <v>-3535</v>
      </c>
      <c r="R30" s="46">
        <f>-2334-2120</f>
        <v>-4454</v>
      </c>
      <c r="S30" s="46">
        <f>-3138-40</f>
        <v>-3178</v>
      </c>
      <c r="T30" s="46">
        <f>-3143-4</f>
        <v>-3147</v>
      </c>
      <c r="U30" s="46">
        <f>-4335-226</f>
        <v>-4561</v>
      </c>
      <c r="V30" s="46">
        <f>-6329+113</f>
        <v>-6216</v>
      </c>
      <c r="W30" s="46">
        <f>-6184+177</f>
        <v>-6007</v>
      </c>
      <c r="X30" s="46">
        <f>+-5985+38</f>
        <v>-5947</v>
      </c>
      <c r="Y30" s="28"/>
      <c r="AA30" s="33"/>
      <c r="AB30" s="87"/>
    </row>
    <row r="31" spans="1:28" s="27" customFormat="1" x14ac:dyDescent="0.2">
      <c r="A31" s="26"/>
      <c r="B31" s="45" t="s">
        <v>5</v>
      </c>
      <c r="C31" s="30"/>
      <c r="D31" s="30"/>
      <c r="E31" s="30"/>
      <c r="F31" s="30"/>
      <c r="G31" s="47">
        <v>-3201</v>
      </c>
      <c r="H31" s="47">
        <f>40+590</f>
        <v>630</v>
      </c>
      <c r="I31" s="47">
        <f>-21-1146+754</f>
        <v>-413</v>
      </c>
      <c r="J31" s="47">
        <f>41-837-386</f>
        <v>-1182</v>
      </c>
      <c r="K31" s="47">
        <f>104-367+2892</f>
        <v>2629</v>
      </c>
      <c r="L31" s="47">
        <f>320+2049-817</f>
        <v>1552</v>
      </c>
      <c r="M31" s="47">
        <f>5277-453+643</f>
        <v>5467</v>
      </c>
      <c r="N31" s="58">
        <f>172+2464+295</f>
        <v>2931</v>
      </c>
      <c r="O31" s="47">
        <f>-276-6188-253</f>
        <v>-6717</v>
      </c>
      <c r="P31" s="47">
        <f>312-76+159</f>
        <v>395</v>
      </c>
      <c r="Q31" s="47">
        <f>1000+1757-883</f>
        <v>1874</v>
      </c>
      <c r="R31" s="47">
        <f>474+1680-1010</f>
        <v>1144</v>
      </c>
      <c r="S31" s="47">
        <f>720-165-510</f>
        <v>45</v>
      </c>
      <c r="T31" s="47">
        <f>-145+717+833</f>
        <v>1405</v>
      </c>
      <c r="U31" s="47">
        <f>-111+28+2459</f>
        <v>2376</v>
      </c>
      <c r="V31" s="47">
        <f>-123-933+736</f>
        <v>-320</v>
      </c>
      <c r="W31" s="47">
        <f>-123+6308+512</f>
        <v>6697</v>
      </c>
      <c r="X31" s="47">
        <f>+-139+1188+806</f>
        <v>1855</v>
      </c>
      <c r="Y31" s="28"/>
      <c r="AA31" s="33"/>
      <c r="AB31" s="87"/>
    </row>
    <row r="32" spans="1:28" s="63" customFormat="1" x14ac:dyDescent="0.2">
      <c r="A32" s="60"/>
      <c r="B32" s="37" t="s">
        <v>46</v>
      </c>
      <c r="C32" s="61"/>
      <c r="D32" s="61"/>
      <c r="E32" s="61"/>
      <c r="F32" s="61"/>
      <c r="G32" s="69">
        <f t="shared" ref="G32:U32" si="13">SUM(G25:G31)</f>
        <v>73723</v>
      </c>
      <c r="H32" s="69">
        <f t="shared" si="13"/>
        <v>56927</v>
      </c>
      <c r="I32" s="69">
        <f t="shared" si="13"/>
        <v>57062</v>
      </c>
      <c r="J32" s="69">
        <f t="shared" si="13"/>
        <v>55029</v>
      </c>
      <c r="K32" s="69">
        <f t="shared" si="13"/>
        <v>63490</v>
      </c>
      <c r="L32" s="69">
        <f t="shared" si="13"/>
        <v>68937</v>
      </c>
      <c r="M32" s="69">
        <f t="shared" si="13"/>
        <v>64531</v>
      </c>
      <c r="N32" s="70">
        <f t="shared" si="13"/>
        <v>74843</v>
      </c>
      <c r="O32" s="69">
        <f t="shared" si="13"/>
        <v>89023</v>
      </c>
      <c r="P32" s="69">
        <f t="shared" si="13"/>
        <v>96310</v>
      </c>
      <c r="Q32" s="69">
        <f t="shared" si="13"/>
        <v>82857</v>
      </c>
      <c r="R32" s="69">
        <f t="shared" si="13"/>
        <v>88467</v>
      </c>
      <c r="S32" s="69">
        <f t="shared" si="13"/>
        <v>94897</v>
      </c>
      <c r="T32" s="69">
        <f t="shared" si="13"/>
        <v>90601</v>
      </c>
      <c r="U32" s="69">
        <f t="shared" si="13"/>
        <v>96170</v>
      </c>
      <c r="V32" s="69">
        <f>SUM(V25:V31)</f>
        <v>98994</v>
      </c>
      <c r="W32" s="69">
        <f>SUM(W25:W31)</f>
        <v>101867</v>
      </c>
      <c r="X32" s="69">
        <f>SUM(X25:X31)</f>
        <v>88614</v>
      </c>
      <c r="Y32" s="62"/>
      <c r="Z32" s="68"/>
      <c r="AA32" s="85"/>
      <c r="AB32" s="87"/>
    </row>
    <row r="33" spans="1:26" s="63" customFormat="1" x14ac:dyDescent="0.2">
      <c r="A33" s="60"/>
      <c r="B33" s="37" t="s">
        <v>52</v>
      </c>
      <c r="C33" s="61"/>
      <c r="D33" s="61"/>
      <c r="E33" s="61"/>
      <c r="F33" s="61"/>
      <c r="G33" s="44">
        <f t="shared" ref="G33:X33" si="14">G23+G32</f>
        <v>17122</v>
      </c>
      <c r="H33" s="44">
        <f t="shared" si="14"/>
        <v>13602</v>
      </c>
      <c r="I33" s="44">
        <f t="shared" si="14"/>
        <v>2957</v>
      </c>
      <c r="J33" s="44">
        <f t="shared" si="14"/>
        <v>1665</v>
      </c>
      <c r="K33" s="44">
        <f t="shared" si="14"/>
        <v>3676</v>
      </c>
      <c r="L33" s="44">
        <f t="shared" si="14"/>
        <v>10608</v>
      </c>
      <c r="M33" s="44">
        <f t="shared" si="14"/>
        <v>3090</v>
      </c>
      <c r="N33" s="56">
        <f t="shared" si="14"/>
        <v>3092</v>
      </c>
      <c r="O33" s="44">
        <f t="shared" si="14"/>
        <v>21069</v>
      </c>
      <c r="P33" s="44">
        <f t="shared" si="14"/>
        <v>27803</v>
      </c>
      <c r="Q33" s="44">
        <f t="shared" si="14"/>
        <v>6043</v>
      </c>
      <c r="R33" s="44">
        <f t="shared" si="14"/>
        <v>11514</v>
      </c>
      <c r="S33" s="44">
        <f t="shared" si="14"/>
        <v>1056</v>
      </c>
      <c r="T33" s="44">
        <f t="shared" si="14"/>
        <v>-15380</v>
      </c>
      <c r="U33" s="56">
        <f t="shared" si="14"/>
        <v>9870</v>
      </c>
      <c r="V33" s="56">
        <f t="shared" si="14"/>
        <v>19207</v>
      </c>
      <c r="W33" s="56">
        <f t="shared" si="14"/>
        <v>19987</v>
      </c>
      <c r="X33" s="56">
        <f t="shared" si="14"/>
        <v>750</v>
      </c>
      <c r="Y33" s="62"/>
      <c r="Z33" s="66"/>
    </row>
    <row r="34" spans="1:26" s="80" customFormat="1" x14ac:dyDescent="0.2">
      <c r="A34" s="75"/>
      <c r="B34" s="76" t="s">
        <v>43</v>
      </c>
      <c r="C34" s="77"/>
      <c r="D34" s="77"/>
      <c r="E34" s="77"/>
      <c r="F34" s="77"/>
      <c r="G34" s="78">
        <v>231776</v>
      </c>
      <c r="H34" s="78">
        <v>248898</v>
      </c>
      <c r="I34" s="78">
        <v>243726</v>
      </c>
      <c r="J34" s="78">
        <v>246683</v>
      </c>
      <c r="K34" s="78">
        <v>248347</v>
      </c>
      <c r="L34" s="78">
        <v>252023</v>
      </c>
      <c r="M34" s="78">
        <v>262631</v>
      </c>
      <c r="N34" s="78">
        <v>265721</v>
      </c>
      <c r="O34" s="78">
        <v>268813</v>
      </c>
      <c r="P34" s="78">
        <v>289882</v>
      </c>
      <c r="Q34" s="78">
        <v>317685</v>
      </c>
      <c r="R34" s="78">
        <v>323728</v>
      </c>
      <c r="S34" s="78">
        <v>335242</v>
      </c>
      <c r="T34" s="78">
        <v>336298</v>
      </c>
      <c r="U34" s="78">
        <v>320918</v>
      </c>
      <c r="V34" s="78">
        <v>328420</v>
      </c>
      <c r="W34" s="78">
        <v>347627</v>
      </c>
      <c r="X34" s="78">
        <v>367614</v>
      </c>
      <c r="Y34" s="79"/>
    </row>
    <row r="35" spans="1:26" s="84" customFormat="1" x14ac:dyDescent="0.2">
      <c r="A35" s="81"/>
      <c r="B35" s="82" t="s">
        <v>49</v>
      </c>
      <c r="C35" s="41"/>
      <c r="D35" s="41"/>
      <c r="E35" s="41"/>
      <c r="F35" s="41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>
        <v>-2368</v>
      </c>
      <c r="W35" s="57"/>
      <c r="X35" s="57"/>
      <c r="Y35" s="83"/>
    </row>
    <row r="36" spans="1:26" s="63" customFormat="1" ht="13.5" thickBot="1" x14ac:dyDescent="0.25">
      <c r="A36" s="60"/>
      <c r="B36" s="71" t="s">
        <v>44</v>
      </c>
      <c r="C36" s="61"/>
      <c r="D36" s="61"/>
      <c r="E36" s="61"/>
      <c r="F36" s="61"/>
      <c r="G36" s="72">
        <f t="shared" ref="G36:X36" si="15">G33+G34</f>
        <v>248898</v>
      </c>
      <c r="H36" s="72">
        <f t="shared" si="15"/>
        <v>262500</v>
      </c>
      <c r="I36" s="72">
        <f t="shared" si="15"/>
        <v>246683</v>
      </c>
      <c r="J36" s="72">
        <f t="shared" si="15"/>
        <v>248348</v>
      </c>
      <c r="K36" s="72">
        <f t="shared" si="15"/>
        <v>252023</v>
      </c>
      <c r="L36" s="72">
        <f t="shared" si="15"/>
        <v>262631</v>
      </c>
      <c r="M36" s="72">
        <f t="shared" si="15"/>
        <v>265721</v>
      </c>
      <c r="N36" s="73">
        <f t="shared" si="15"/>
        <v>268813</v>
      </c>
      <c r="O36" s="72">
        <f t="shared" si="15"/>
        <v>289882</v>
      </c>
      <c r="P36" s="72">
        <f t="shared" si="15"/>
        <v>317685</v>
      </c>
      <c r="Q36" s="72">
        <f t="shared" si="15"/>
        <v>323728</v>
      </c>
      <c r="R36" s="72">
        <f t="shared" si="15"/>
        <v>335242</v>
      </c>
      <c r="S36" s="72">
        <f t="shared" si="15"/>
        <v>336298</v>
      </c>
      <c r="T36" s="72">
        <f t="shared" si="15"/>
        <v>320918</v>
      </c>
      <c r="U36" s="72">
        <f t="shared" si="15"/>
        <v>330788</v>
      </c>
      <c r="V36" s="72">
        <f>+V33+V34</f>
        <v>347627</v>
      </c>
      <c r="W36" s="72">
        <f t="shared" ref="W36" si="16">W33+W34</f>
        <v>367614</v>
      </c>
      <c r="X36" s="72">
        <f t="shared" si="15"/>
        <v>368364</v>
      </c>
      <c r="Y36" s="62"/>
    </row>
    <row r="37" spans="1:26" s="27" customFormat="1" ht="13.5" thickTop="1" x14ac:dyDescent="0.2">
      <c r="A37" s="26"/>
      <c r="B37" s="30"/>
      <c r="C37" s="30"/>
      <c r="D37" s="30"/>
      <c r="E37" s="30"/>
      <c r="F37" s="30"/>
      <c r="G37" s="30"/>
      <c r="H37" s="30"/>
      <c r="I37" s="30"/>
      <c r="J37" s="21"/>
      <c r="K37" s="21"/>
      <c r="L37" s="21"/>
      <c r="M37" s="21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28"/>
    </row>
    <row r="38" spans="1:26" x14ac:dyDescent="0.2">
      <c r="A38" s="17"/>
      <c r="B38" s="4" t="s">
        <v>54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19"/>
    </row>
    <row r="39" spans="1:26" x14ac:dyDescent="0.2">
      <c r="A39" s="17"/>
      <c r="B39" s="4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19"/>
    </row>
    <row r="40" spans="1:26" x14ac:dyDescent="0.2">
      <c r="A40" s="17"/>
      <c r="B40" s="59" t="s">
        <v>41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19"/>
    </row>
    <row r="41" spans="1:26" x14ac:dyDescent="0.2">
      <c r="A41" s="17"/>
      <c r="B41" s="74" t="s">
        <v>39</v>
      </c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19"/>
    </row>
    <row r="42" spans="1:26" x14ac:dyDescent="0.2">
      <c r="A42" s="17"/>
      <c r="B42" s="4" t="s">
        <v>38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19"/>
    </row>
    <row r="43" spans="1:26" x14ac:dyDescent="0.2">
      <c r="A43" s="17"/>
      <c r="B43" s="4" t="s">
        <v>40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50"/>
      <c r="O43" s="50"/>
      <c r="P43" s="50"/>
      <c r="Q43" s="18"/>
      <c r="R43" s="18"/>
      <c r="S43" s="18"/>
      <c r="T43" s="18"/>
      <c r="U43" s="18"/>
      <c r="V43" s="18"/>
      <c r="W43" s="18"/>
      <c r="X43" s="18"/>
      <c r="Y43" s="19"/>
    </row>
    <row r="44" spans="1:26" x14ac:dyDescent="0.2">
      <c r="A44" s="17"/>
      <c r="B44" s="7" t="s">
        <v>50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9"/>
    </row>
    <row r="45" spans="1:26" x14ac:dyDescent="0.2">
      <c r="A45" s="17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9"/>
    </row>
    <row r="46" spans="1:26" x14ac:dyDescent="0.2">
      <c r="A46" s="17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9"/>
    </row>
    <row r="47" spans="1:26" x14ac:dyDescent="0.2">
      <c r="A47" s="17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9"/>
    </row>
    <row r="48" spans="1:26" x14ac:dyDescent="0.2">
      <c r="A48" s="17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9"/>
    </row>
    <row r="49" spans="1:25" x14ac:dyDescent="0.2">
      <c r="A49" s="17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9"/>
    </row>
    <row r="50" spans="1:25" x14ac:dyDescent="0.2">
      <c r="A50" s="17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9"/>
    </row>
    <row r="51" spans="1:25" x14ac:dyDescent="0.2">
      <c r="A51" s="17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9"/>
    </row>
    <row r="52" spans="1:25" x14ac:dyDescent="0.2">
      <c r="A52" s="17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9"/>
    </row>
    <row r="53" spans="1:25" x14ac:dyDescent="0.2">
      <c r="A53" s="17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9"/>
    </row>
    <row r="54" spans="1:25" x14ac:dyDescent="0.2">
      <c r="A54" s="17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9"/>
    </row>
    <row r="55" spans="1:25" x14ac:dyDescent="0.2">
      <c r="A55" s="17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9"/>
    </row>
    <row r="56" spans="1:25" x14ac:dyDescent="0.2">
      <c r="A56" s="17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9"/>
    </row>
    <row r="57" spans="1:25" x14ac:dyDescent="0.2">
      <c r="A57" s="17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9"/>
    </row>
    <row r="58" spans="1:25" x14ac:dyDescent="0.2">
      <c r="A58" s="17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9"/>
    </row>
    <row r="59" spans="1:25" x14ac:dyDescent="0.2">
      <c r="A59" s="17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9"/>
    </row>
    <row r="60" spans="1:25" x14ac:dyDescent="0.2">
      <c r="A60" s="17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9"/>
    </row>
    <row r="61" spans="1:25" x14ac:dyDescent="0.2">
      <c r="A61" s="17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9"/>
    </row>
    <row r="62" spans="1:25" x14ac:dyDescent="0.2">
      <c r="A62" s="17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9"/>
    </row>
    <row r="63" spans="1:25" x14ac:dyDescent="0.2">
      <c r="A63" s="17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9"/>
    </row>
    <row r="64" spans="1:25" x14ac:dyDescent="0.2">
      <c r="A64" s="17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9"/>
    </row>
    <row r="65" spans="1:25" x14ac:dyDescent="0.2">
      <c r="A65" s="17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9"/>
    </row>
    <row r="66" spans="1:25" x14ac:dyDescent="0.2">
      <c r="A66" s="17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9"/>
    </row>
    <row r="67" spans="1:25" x14ac:dyDescent="0.2">
      <c r="A67" s="17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9"/>
    </row>
    <row r="68" spans="1:25" x14ac:dyDescent="0.2">
      <c r="A68" s="17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9"/>
    </row>
    <row r="69" spans="1:25" x14ac:dyDescent="0.2">
      <c r="A69" s="17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9"/>
    </row>
    <row r="70" spans="1:25" x14ac:dyDescent="0.2">
      <c r="A70" s="17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9"/>
    </row>
    <row r="71" spans="1:25" x14ac:dyDescent="0.2">
      <c r="A71" s="17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9"/>
    </row>
    <row r="72" spans="1:25" x14ac:dyDescent="0.2">
      <c r="A72" s="17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9"/>
    </row>
    <row r="73" spans="1:25" x14ac:dyDescent="0.2">
      <c r="A73" s="17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9"/>
    </row>
    <row r="74" spans="1:25" x14ac:dyDescent="0.2">
      <c r="A74" s="17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9"/>
    </row>
    <row r="75" spans="1:25" x14ac:dyDescent="0.2">
      <c r="A75" s="17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9"/>
    </row>
    <row r="76" spans="1:25" x14ac:dyDescent="0.2">
      <c r="A76" s="17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9"/>
    </row>
    <row r="77" spans="1:25" x14ac:dyDescent="0.2">
      <c r="A77" s="17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9"/>
    </row>
    <row r="78" spans="1:25" x14ac:dyDescent="0.2">
      <c r="A78" s="17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9"/>
    </row>
    <row r="79" spans="1:25" x14ac:dyDescent="0.2">
      <c r="A79" s="17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9"/>
    </row>
    <row r="80" spans="1:25" x14ac:dyDescent="0.2">
      <c r="A80" s="17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9"/>
    </row>
    <row r="81" spans="1:25" x14ac:dyDescent="0.2">
      <c r="A81" s="17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9"/>
    </row>
    <row r="82" spans="1:25" x14ac:dyDescent="0.2">
      <c r="A82" s="22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4"/>
    </row>
  </sheetData>
  <mergeCells count="1">
    <mergeCell ref="B41:X41"/>
  </mergeCells>
  <pageMargins left="0.17" right="0.19" top="0.3" bottom="0.44" header="0.24" footer="0.18"/>
  <pageSetup scale="88" orientation="landscape" r:id="rId1"/>
  <headerFooter scaleWithDoc="0">
    <oddFooter>&amp;L&amp;"Times New Roman,Regular"UMSL Fact Book&amp;C&amp;"Times New Roman,Regular"&amp;F&amp;R&amp;"Times New Roman,Regular"Last Updated FY2019</oddFooter>
  </headerFooter>
  <rowBreaks count="1" manualBreakCount="1">
    <brk id="44" max="16" man="1"/>
  </rowBreaks>
  <ignoredErrors>
    <ignoredError sqref="Q15 Q3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$</vt:lpstr>
      <vt:lpstr>'$'!Print_Area</vt:lpstr>
    </vt:vector>
  </TitlesOfParts>
  <Company>University of Missouri - St. Louis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kruegerj</dc:creator>
  <cp:lastModifiedBy>Thaxton, Mary</cp:lastModifiedBy>
  <cp:lastPrinted>2019-12-20T15:07:07Z</cp:lastPrinted>
  <dcterms:created xsi:type="dcterms:W3CDTF">2006-11-21T22:22:39Z</dcterms:created>
  <dcterms:modified xsi:type="dcterms:W3CDTF">2019-12-20T15:19:26Z</dcterms:modified>
</cp:coreProperties>
</file>